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https://agfwgmbh.sharepoint.com/sites/FuE_Projekte/Shared Documents/23012_REA_Berechnungsleitfaden/"/>
    </mc:Choice>
  </mc:AlternateContent>
  <xr:revisionPtr revIDLastSave="21" documentId="13_ncr:1_{441221C3-744F-1F45-8BA5-F77DBE33F50C}" xr6:coauthVersionLast="47" xr6:coauthVersionMax="47" xr10:uidLastSave="{6E3C7A86-DE82-604B-98FA-AF0C279799A5}"/>
  <bookViews>
    <workbookView xWindow="0" yWindow="500" windowWidth="34560" windowHeight="21100" activeTab="8" xr2:uid="{00000000-000D-0000-FFFF-FFFF00000000}"/>
  </bookViews>
  <sheets>
    <sheet name="Explanations" sheetId="10" r:id="rId1"/>
    <sheet name="CExD" sheetId="1" r:id="rId2"/>
    <sheet name="CED" sheetId="2" r:id="rId3"/>
    <sheet name="GWP 100" sheetId="3" r:id="rId4"/>
    <sheet name="GWP 20" sheetId="4" r:id="rId5"/>
    <sheet name="ESU Summary" sheetId="5" r:id="rId6"/>
    <sheet name="CExD_edit" sheetId="8" r:id="rId7"/>
    <sheet name="CED_edit" sheetId="9" r:id="rId8"/>
    <sheet name="ESU Summary_edit" sheetId="7" r:id="rId9"/>
    <sheet name="Side calculations" sheetId="19" r:id="rId10"/>
    <sheet name="Assessment" sheetId="6" r:id="rId11"/>
    <sheet name="Data summary" sheetId="11" r:id="rId12"/>
    <sheet name="Infrastructure - CExD" sheetId="18" r:id="rId13"/>
    <sheet name="Infrastructure - CExD_edit" sheetId="15" r:id="rId14"/>
    <sheet name="Infrastructure - CED" sheetId="14" r:id="rId15"/>
    <sheet name="Infrastructure - GWP20" sheetId="16" r:id="rId16"/>
    <sheet name="Infrastructure - GWP100" sheetId="17" r:id="rId17"/>
    <sheet name="Infrastructure - summary" sheetId="12" r:id="rId18"/>
  </sheets>
  <definedNames>
    <definedName name="_xlnm._FilterDatabase" localSheetId="11" hidden="1">'Data summary'!$A$1:$J$56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7" l="1"/>
  <c r="F3" i="7" a="1"/>
  <c r="F3" i="7" s="1"/>
  <c r="AP68" i="9"/>
  <c r="AP69" i="8"/>
  <c r="I3" i="7" a="1"/>
  <c r="I3" i="7" s="1"/>
  <c r="O3" i="6"/>
  <c r="AB3" i="6"/>
  <c r="AB10" i="6"/>
  <c r="K2" i="11"/>
  <c r="L2" i="11"/>
  <c r="M2" i="11"/>
  <c r="N2" i="11"/>
  <c r="Q2" i="11"/>
  <c r="R2" i="11"/>
  <c r="K3" i="11"/>
  <c r="L3" i="11"/>
  <c r="M3" i="11"/>
  <c r="N3" i="11"/>
  <c r="O3" i="11"/>
  <c r="P3" i="11"/>
  <c r="Q3" i="11"/>
  <c r="R3" i="11"/>
  <c r="K4" i="11"/>
  <c r="L4" i="11"/>
  <c r="M4" i="11"/>
  <c r="N4" i="11"/>
  <c r="O4" i="11"/>
  <c r="P4" i="11"/>
  <c r="Q4" i="11"/>
  <c r="R4" i="11"/>
  <c r="K5" i="11"/>
  <c r="L5" i="11"/>
  <c r="M5" i="11"/>
  <c r="N5" i="11"/>
  <c r="O5" i="11"/>
  <c r="P5" i="11"/>
  <c r="Q5" i="11"/>
  <c r="R5" i="11"/>
  <c r="K6" i="11"/>
  <c r="L6" i="11"/>
  <c r="M6" i="11"/>
  <c r="N6" i="11"/>
  <c r="Q6" i="11"/>
  <c r="R6" i="11"/>
  <c r="K7" i="11"/>
  <c r="L7" i="11"/>
  <c r="M7" i="11"/>
  <c r="N7" i="11"/>
  <c r="Q7" i="11"/>
  <c r="R7" i="11"/>
  <c r="K8" i="11"/>
  <c r="L8" i="11"/>
  <c r="M8" i="11"/>
  <c r="N8" i="11"/>
  <c r="O8" i="11"/>
  <c r="P8" i="11"/>
  <c r="Q8" i="11"/>
  <c r="R8" i="11"/>
  <c r="K9" i="11"/>
  <c r="L9" i="11"/>
  <c r="M9" i="11"/>
  <c r="N9" i="11"/>
  <c r="Q9" i="11"/>
  <c r="R9" i="11"/>
  <c r="K10" i="11"/>
  <c r="L10" i="11"/>
  <c r="M10" i="11"/>
  <c r="N10" i="11"/>
  <c r="Q10" i="11"/>
  <c r="R10" i="11"/>
  <c r="K11" i="11"/>
  <c r="L11" i="11"/>
  <c r="M11" i="11"/>
  <c r="N11" i="11"/>
  <c r="Q11" i="11"/>
  <c r="R11" i="11"/>
  <c r="K12" i="11"/>
  <c r="L12" i="11"/>
  <c r="M12" i="11"/>
  <c r="N12" i="11"/>
  <c r="O12" i="11"/>
  <c r="P12" i="11"/>
  <c r="Q12" i="11"/>
  <c r="R12" i="11"/>
  <c r="K13" i="11"/>
  <c r="L13" i="11"/>
  <c r="M13" i="11"/>
  <c r="N13" i="11"/>
  <c r="O13" i="11"/>
  <c r="P13" i="11"/>
  <c r="Q13" i="11"/>
  <c r="R13" i="11"/>
  <c r="K14" i="11"/>
  <c r="L14" i="11"/>
  <c r="M14" i="11"/>
  <c r="N14" i="11"/>
  <c r="O14" i="11"/>
  <c r="P14" i="11"/>
  <c r="Q14" i="11"/>
  <c r="R14" i="11"/>
  <c r="K15" i="11"/>
  <c r="L15" i="11"/>
  <c r="M15" i="11"/>
  <c r="N15" i="11"/>
  <c r="O15" i="11"/>
  <c r="P15" i="11"/>
  <c r="Q15" i="11"/>
  <c r="R15" i="11"/>
  <c r="K16" i="11"/>
  <c r="L16" i="11"/>
  <c r="M16" i="11"/>
  <c r="N16" i="11"/>
  <c r="Q16" i="11"/>
  <c r="R16" i="11"/>
  <c r="K17" i="11"/>
  <c r="L17" i="11"/>
  <c r="M17" i="11"/>
  <c r="N17" i="11"/>
  <c r="O17" i="11"/>
  <c r="P17" i="11"/>
  <c r="Q17" i="11"/>
  <c r="R17" i="11"/>
  <c r="K18" i="11"/>
  <c r="L18" i="11"/>
  <c r="M18" i="11"/>
  <c r="N18" i="11"/>
  <c r="O18" i="11"/>
  <c r="P18" i="11"/>
  <c r="Q18" i="11"/>
  <c r="R18" i="11"/>
  <c r="K19" i="11"/>
  <c r="L19" i="11"/>
  <c r="M19" i="11"/>
  <c r="N19" i="11"/>
  <c r="O19" i="11"/>
  <c r="P19" i="11"/>
  <c r="Q19" i="11"/>
  <c r="R19" i="11"/>
  <c r="K20" i="11"/>
  <c r="L20" i="11"/>
  <c r="M20" i="11"/>
  <c r="N20" i="11"/>
  <c r="O20" i="11"/>
  <c r="P20" i="11"/>
  <c r="Q20" i="11"/>
  <c r="R20" i="11"/>
  <c r="K21" i="11"/>
  <c r="L21" i="11"/>
  <c r="M21" i="11"/>
  <c r="N21" i="11"/>
  <c r="Q21" i="11"/>
  <c r="R21" i="11"/>
  <c r="K22" i="11"/>
  <c r="L22" i="11"/>
  <c r="M22" i="11"/>
  <c r="N22" i="11"/>
  <c r="O22" i="11"/>
  <c r="P22" i="11"/>
  <c r="Q22" i="11"/>
  <c r="R22" i="11"/>
  <c r="K23" i="11"/>
  <c r="L23" i="11"/>
  <c r="M23" i="11"/>
  <c r="N23" i="11"/>
  <c r="Q23" i="11"/>
  <c r="R23" i="11"/>
  <c r="K24" i="11"/>
  <c r="L24" i="11"/>
  <c r="M24" i="11"/>
  <c r="N24" i="11"/>
  <c r="O24" i="11"/>
  <c r="P24" i="11"/>
  <c r="Q24" i="11"/>
  <c r="R24" i="11"/>
  <c r="K25" i="11"/>
  <c r="L25" i="11"/>
  <c r="M25" i="11"/>
  <c r="N25" i="11"/>
  <c r="Q25" i="11"/>
  <c r="R25" i="11"/>
  <c r="K26" i="11"/>
  <c r="L26" i="11"/>
  <c r="M26" i="11"/>
  <c r="N26" i="11"/>
  <c r="O26" i="11"/>
  <c r="P26" i="11"/>
  <c r="Q26" i="11"/>
  <c r="R26" i="11"/>
  <c r="K27" i="11"/>
  <c r="L27" i="11"/>
  <c r="M27" i="11"/>
  <c r="N27" i="11"/>
  <c r="Q27" i="11"/>
  <c r="R27" i="11"/>
  <c r="K28" i="11"/>
  <c r="L28" i="11"/>
  <c r="M28" i="11"/>
  <c r="N28" i="11"/>
  <c r="O28" i="11"/>
  <c r="P28" i="11"/>
  <c r="Q28" i="11"/>
  <c r="R28" i="11"/>
  <c r="K29" i="11"/>
  <c r="L29" i="11"/>
  <c r="M29" i="11"/>
  <c r="N29" i="11"/>
  <c r="O29" i="11"/>
  <c r="P29" i="11"/>
  <c r="Q29" i="11"/>
  <c r="R29" i="11"/>
  <c r="K30" i="11"/>
  <c r="L30" i="11"/>
  <c r="M30" i="11"/>
  <c r="N30" i="11"/>
  <c r="Q30" i="11"/>
  <c r="R30" i="11"/>
  <c r="K31" i="11"/>
  <c r="L31" i="11"/>
  <c r="M31" i="11"/>
  <c r="N31" i="11"/>
  <c r="Q31" i="11"/>
  <c r="R31" i="11"/>
  <c r="K32" i="11"/>
  <c r="L32" i="11"/>
  <c r="M32" i="11"/>
  <c r="N32" i="11"/>
  <c r="Q32" i="11"/>
  <c r="R32" i="11"/>
  <c r="K33" i="11"/>
  <c r="L33" i="11"/>
  <c r="M33" i="11"/>
  <c r="N33" i="11"/>
  <c r="O33" i="11"/>
  <c r="P33" i="11"/>
  <c r="Q33" i="11"/>
  <c r="R33" i="11"/>
  <c r="K34" i="11"/>
  <c r="L34" i="11"/>
  <c r="M34" i="11"/>
  <c r="N34" i="11"/>
  <c r="O34" i="11"/>
  <c r="P34" i="11"/>
  <c r="Q34" i="11"/>
  <c r="R34" i="11"/>
  <c r="K35" i="11"/>
  <c r="L35" i="11"/>
  <c r="M35" i="11"/>
  <c r="N35" i="11"/>
  <c r="Q35" i="11"/>
  <c r="R35" i="11"/>
  <c r="K36" i="11"/>
  <c r="L36" i="11"/>
  <c r="M36" i="11"/>
  <c r="N36" i="11"/>
  <c r="O36" i="11"/>
  <c r="P36" i="11"/>
  <c r="Q36" i="11"/>
  <c r="R36" i="11"/>
  <c r="K37" i="11"/>
  <c r="L37" i="11"/>
  <c r="M37" i="11"/>
  <c r="N37" i="11"/>
  <c r="Q37" i="11"/>
  <c r="R37" i="11"/>
  <c r="K38" i="11"/>
  <c r="L38" i="11"/>
  <c r="M38" i="11"/>
  <c r="N38" i="11"/>
  <c r="Q38" i="11"/>
  <c r="R38" i="11"/>
  <c r="K39" i="11"/>
  <c r="L39" i="11"/>
  <c r="M39" i="11"/>
  <c r="N39" i="11"/>
  <c r="O39" i="11"/>
  <c r="P39" i="11"/>
  <c r="Q39" i="11"/>
  <c r="R39" i="11"/>
  <c r="K40" i="11"/>
  <c r="L40" i="11"/>
  <c r="M40" i="11"/>
  <c r="N40" i="11"/>
  <c r="O40" i="11"/>
  <c r="P40" i="11"/>
  <c r="Q40" i="11"/>
  <c r="R40" i="11"/>
  <c r="K41" i="11"/>
  <c r="L41" i="11"/>
  <c r="M41" i="11"/>
  <c r="N41" i="11"/>
  <c r="Q41" i="11"/>
  <c r="R41" i="11"/>
  <c r="K42" i="11"/>
  <c r="L42" i="11"/>
  <c r="M42" i="11"/>
  <c r="N42" i="11"/>
  <c r="Q42" i="11"/>
  <c r="R42" i="11"/>
  <c r="K43" i="11"/>
  <c r="L43" i="11"/>
  <c r="M43" i="11"/>
  <c r="N43" i="11"/>
  <c r="Q43" i="11"/>
  <c r="R43" i="11"/>
  <c r="K44" i="11"/>
  <c r="L44" i="11"/>
  <c r="M44" i="11"/>
  <c r="N44" i="11"/>
  <c r="O44" i="11"/>
  <c r="P44" i="11"/>
  <c r="Q44" i="11"/>
  <c r="R44" i="11"/>
  <c r="K45" i="11"/>
  <c r="L45" i="11"/>
  <c r="M45" i="11"/>
  <c r="N45" i="11"/>
  <c r="O45" i="11"/>
  <c r="P45" i="11"/>
  <c r="Q45" i="11"/>
  <c r="R45" i="11"/>
  <c r="K46" i="11"/>
  <c r="L46" i="11"/>
  <c r="M46" i="11"/>
  <c r="N46" i="11"/>
  <c r="Q46" i="11"/>
  <c r="R46" i="11"/>
  <c r="K47" i="11"/>
  <c r="L47" i="11"/>
  <c r="M47" i="11"/>
  <c r="N47" i="11"/>
  <c r="Q47" i="11"/>
  <c r="R47" i="11"/>
  <c r="K48" i="11"/>
  <c r="L48" i="11"/>
  <c r="M48" i="11"/>
  <c r="N48" i="11"/>
  <c r="O48" i="11"/>
  <c r="P48" i="11"/>
  <c r="Q48" i="11"/>
  <c r="R48" i="11"/>
  <c r="K49" i="11"/>
  <c r="L49" i="11"/>
  <c r="M49" i="11"/>
  <c r="N49" i="11"/>
  <c r="Q49" i="11"/>
  <c r="R49" i="11"/>
  <c r="K50" i="11"/>
  <c r="L50" i="11"/>
  <c r="M50" i="11"/>
  <c r="N50" i="11"/>
  <c r="Q50" i="11"/>
  <c r="R50" i="11"/>
  <c r="K51" i="11"/>
  <c r="L51" i="11"/>
  <c r="M51" i="11"/>
  <c r="N51" i="11"/>
  <c r="Q51" i="11"/>
  <c r="R51" i="11"/>
  <c r="K52" i="11"/>
  <c r="L52" i="11"/>
  <c r="M52" i="11"/>
  <c r="N52" i="11"/>
  <c r="O52" i="11"/>
  <c r="P52" i="11"/>
  <c r="Q52" i="11"/>
  <c r="R52" i="11"/>
  <c r="K53" i="11"/>
  <c r="L53" i="11"/>
  <c r="M53" i="11"/>
  <c r="N53" i="11"/>
  <c r="Q53" i="11"/>
  <c r="R53" i="11"/>
  <c r="K54" i="11"/>
  <c r="L54" i="11"/>
  <c r="M54" i="11"/>
  <c r="N54" i="11"/>
  <c r="O54" i="11"/>
  <c r="P54" i="11"/>
  <c r="Q54" i="11"/>
  <c r="R54" i="11"/>
  <c r="K55" i="11"/>
  <c r="L55" i="11"/>
  <c r="M55" i="11"/>
  <c r="N55" i="11"/>
  <c r="O55" i="11"/>
  <c r="P55" i="11"/>
  <c r="Q55" i="11"/>
  <c r="R55" i="11"/>
  <c r="K56" i="11"/>
  <c r="L56" i="11"/>
  <c r="M56" i="11"/>
  <c r="N56" i="11"/>
  <c r="Q56" i="11"/>
  <c r="R56" i="11"/>
  <c r="K1" i="11"/>
  <c r="L1" i="11"/>
  <c r="M1" i="11"/>
  <c r="N1" i="11"/>
  <c r="O1" i="11"/>
  <c r="P1" i="11"/>
  <c r="Q1" i="11"/>
  <c r="R1" i="11"/>
  <c r="I54" i="6"/>
  <c r="I53" i="6"/>
  <c r="J6" i="19"/>
  <c r="J5" i="19"/>
  <c r="F6" i="19"/>
  <c r="F5" i="19"/>
  <c r="A6" i="19"/>
  <c r="A5" i="19"/>
  <c r="D5" i="19"/>
  <c r="AO54" i="6" l="1"/>
  <c r="AD25" i="12"/>
  <c r="AE25" i="12"/>
  <c r="T10" i="12"/>
  <c r="T11" i="12"/>
  <c r="T12" i="12"/>
  <c r="T13" i="12"/>
  <c r="T20" i="12"/>
  <c r="T21" i="12"/>
  <c r="T22" i="12"/>
  <c r="T23" i="12"/>
  <c r="T28" i="12"/>
  <c r="T29" i="12"/>
  <c r="T30" i="12"/>
  <c r="T31" i="12"/>
  <c r="T32" i="12"/>
  <c r="R38" i="12"/>
  <c r="R37" i="12"/>
  <c r="S37" i="12" s="1"/>
  <c r="T37" i="12" s="1"/>
  <c r="R36" i="12"/>
  <c r="R35" i="12"/>
  <c r="S35" i="12" s="1"/>
  <c r="T35" i="12" s="1"/>
  <c r="R25" i="12"/>
  <c r="S25" i="12" s="1"/>
  <c r="T25" i="12" s="1"/>
  <c r="R24" i="12"/>
  <c r="S24" i="12" s="1"/>
  <c r="T24" i="12" s="1"/>
  <c r="S23" i="12"/>
  <c r="C42" i="12"/>
  <c r="C44" i="12" s="1"/>
  <c r="C46" i="12" s="1"/>
  <c r="S28" i="12"/>
  <c r="S29" i="12"/>
  <c r="S30" i="12"/>
  <c r="S31" i="12"/>
  <c r="S32" i="12"/>
  <c r="S33" i="12"/>
  <c r="T33" i="12" s="1"/>
  <c r="S34" i="12"/>
  <c r="T34" i="12" s="1"/>
  <c r="S11" i="12"/>
  <c r="S12" i="12"/>
  <c r="S13" i="12"/>
  <c r="S14" i="12"/>
  <c r="T14" i="12" s="1"/>
  <c r="S15" i="12"/>
  <c r="T15" i="12" s="1"/>
  <c r="S16" i="12"/>
  <c r="T16" i="12" s="1"/>
  <c r="S17" i="12"/>
  <c r="T17" i="12" s="1"/>
  <c r="S18" i="12"/>
  <c r="T18" i="12" s="1"/>
  <c r="S19" i="12"/>
  <c r="T19" i="12" s="1"/>
  <c r="S20" i="12"/>
  <c r="S21" i="12"/>
  <c r="AC25" i="12"/>
  <c r="AB25" i="12"/>
  <c r="S22" i="12"/>
  <c r="S10" i="12"/>
  <c r="D46" i="15" a="1"/>
  <c r="D46" i="15" s="1"/>
  <c r="E46" i="15" a="1"/>
  <c r="E46" i="15"/>
  <c r="F46" i="15" a="1"/>
  <c r="F46" i="15" s="1"/>
  <c r="G46" i="15" a="1"/>
  <c r="G46" i="15" s="1"/>
  <c r="H46" i="15" a="1"/>
  <c r="H46" i="15"/>
  <c r="I46" i="15" a="1"/>
  <c r="I46" i="15" s="1"/>
  <c r="J46" i="15" a="1"/>
  <c r="J46" i="15"/>
  <c r="K46" i="15" a="1"/>
  <c r="K46" i="15" s="1"/>
  <c r="L46" i="15" a="1"/>
  <c r="L46" i="15"/>
  <c r="M46" i="15" a="1"/>
  <c r="M46" i="15"/>
  <c r="N46" i="15" a="1"/>
  <c r="N46" i="15" s="1"/>
  <c r="O46" i="15" a="1"/>
  <c r="O46" i="15" s="1"/>
  <c r="P46" i="15" a="1"/>
  <c r="P46" i="15" s="1"/>
  <c r="Q46" i="15" a="1"/>
  <c r="Q46" i="15"/>
  <c r="R46" i="15" a="1"/>
  <c r="R46" i="15"/>
  <c r="S46" i="15" a="1"/>
  <c r="S46" i="15" s="1"/>
  <c r="T46" i="15" a="1"/>
  <c r="T46" i="15"/>
  <c r="U46" i="15" a="1"/>
  <c r="U46" i="15" s="1"/>
  <c r="V46" i="15" a="1"/>
  <c r="V46" i="15"/>
  <c r="W46" i="15" a="1"/>
  <c r="W46" i="15"/>
  <c r="X46" i="15" a="1"/>
  <c r="X46" i="15" s="1"/>
  <c r="Y46" i="15" a="1"/>
  <c r="Y46" i="15"/>
  <c r="Z46" i="15" a="1"/>
  <c r="Z46" i="15" s="1"/>
  <c r="AA46" i="15" a="1"/>
  <c r="AA46" i="15"/>
  <c r="AB46" i="15" a="1"/>
  <c r="AB46" i="15"/>
  <c r="AC46" i="15" a="1"/>
  <c r="AC46" i="15" s="1"/>
  <c r="AD46" i="15" a="1"/>
  <c r="AD46" i="15" s="1"/>
  <c r="AE46" i="15" a="1"/>
  <c r="AE46" i="15" s="1"/>
  <c r="AF46" i="15" a="1"/>
  <c r="AF46" i="15"/>
  <c r="AG46" i="15" a="1"/>
  <c r="AG46" i="15"/>
  <c r="AH46" i="15" a="1"/>
  <c r="AH46" i="15" s="1"/>
  <c r="C46" i="15" a="1"/>
  <c r="C46" i="15" s="1"/>
  <c r="D54" i="15"/>
  <c r="E54" i="15"/>
  <c r="F54" i="15"/>
  <c r="G54" i="15"/>
  <c r="H54" i="15"/>
  <c r="I54" i="15"/>
  <c r="J54" i="15"/>
  <c r="K54" i="15"/>
  <c r="L54" i="15"/>
  <c r="M54" i="15"/>
  <c r="N54" i="15"/>
  <c r="O54" i="15"/>
  <c r="P54" i="15"/>
  <c r="Q54" i="15"/>
  <c r="R54" i="15"/>
  <c r="S54" i="15"/>
  <c r="T54" i="15"/>
  <c r="U54" i="15"/>
  <c r="V54" i="15"/>
  <c r="W54" i="15"/>
  <c r="X54" i="15"/>
  <c r="Y54" i="15"/>
  <c r="Z54" i="15"/>
  <c r="AA54" i="15"/>
  <c r="AB54" i="15"/>
  <c r="AC54" i="15"/>
  <c r="AD54" i="15"/>
  <c r="AE54" i="15"/>
  <c r="AF54" i="15"/>
  <c r="AG54" i="15"/>
  <c r="AH54" i="15"/>
  <c r="C54" i="15"/>
  <c r="S26" i="12"/>
  <c r="T26" i="12" s="1"/>
  <c r="S27" i="12"/>
  <c r="T27" i="12" s="1"/>
  <c r="S38" i="12"/>
  <c r="T38" i="12" s="1"/>
  <c r="S36" i="12"/>
  <c r="T36" i="12" s="1"/>
  <c r="S9" i="12"/>
  <c r="T9" i="12" s="1"/>
  <c r="S8" i="12"/>
  <c r="T8" i="12" s="1"/>
  <c r="S7" i="12"/>
  <c r="T7" i="12" s="1"/>
  <c r="J53" i="6"/>
  <c r="J54" i="6"/>
  <c r="E53" i="6"/>
  <c r="E54" i="6"/>
  <c r="D53" i="6"/>
  <c r="D54" i="6"/>
  <c r="D52" i="6"/>
  <c r="B2" i="6" a="1"/>
  <c r="B2" i="6" s="1"/>
  <c r="J3" i="7" a="1"/>
  <c r="J3" i="7" s="1"/>
  <c r="AZ91" i="8"/>
  <c r="BA91" i="8"/>
  <c r="BB91" i="8"/>
  <c r="AO79" i="9"/>
  <c r="AZ71" i="8"/>
  <c r="BA71" i="8"/>
  <c r="BB71" i="8"/>
  <c r="AZ72" i="8"/>
  <c r="BA72" i="8"/>
  <c r="BB72" i="8"/>
  <c r="AZ73" i="8"/>
  <c r="BA73" i="8"/>
  <c r="BB73" i="8"/>
  <c r="AZ69" i="8"/>
  <c r="BA69" i="8"/>
  <c r="BB69" i="8"/>
  <c r="C66" i="9" a="1"/>
  <c r="C66" i="9" s="1"/>
  <c r="C66" i="8" a="1"/>
  <c r="C66" i="8" s="1"/>
  <c r="T54" i="6" l="1"/>
  <c r="S54" i="6"/>
  <c r="T53" i="6"/>
  <c r="AA53" i="6" s="1"/>
  <c r="S53" i="6"/>
  <c r="Z53" i="6" s="1"/>
  <c r="AP54" i="6"/>
  <c r="AA54" i="6"/>
  <c r="Z54" i="6"/>
  <c r="C68" i="9"/>
  <c r="D68" i="9"/>
  <c r="E68" i="9"/>
  <c r="F68" i="9"/>
  <c r="G68" i="9"/>
  <c r="H68" i="9"/>
  <c r="I68" i="9"/>
  <c r="J68" i="9"/>
  <c r="K68" i="9"/>
  <c r="L68" i="9"/>
  <c r="M68" i="9"/>
  <c r="N68" i="9"/>
  <c r="O68" i="9"/>
  <c r="P68" i="9"/>
  <c r="Q68" i="9"/>
  <c r="R68" i="9"/>
  <c r="S68" i="9"/>
  <c r="T68" i="9"/>
  <c r="U68" i="9"/>
  <c r="V68" i="9"/>
  <c r="W68" i="9"/>
  <c r="X68" i="9"/>
  <c r="Y68" i="9"/>
  <c r="Z68" i="9"/>
  <c r="AA68" i="9"/>
  <c r="AB68" i="9"/>
  <c r="AC68" i="9"/>
  <c r="AD68" i="9"/>
  <c r="AE68" i="9"/>
  <c r="AF68" i="9"/>
  <c r="AG68" i="9"/>
  <c r="AQ54" i="6" l="1"/>
  <c r="O53" i="11" s="1"/>
  <c r="AR54" i="6"/>
  <c r="P53" i="11" s="1"/>
  <c r="AZ79" i="9"/>
  <c r="O54" i="7"/>
  <c r="O53" i="7"/>
  <c r="N54" i="7"/>
  <c r="N53" i="7"/>
  <c r="H54" i="5"/>
  <c r="H53" i="5"/>
  <c r="L3" i="7" a="1"/>
  <c r="K3" i="7" a="1"/>
  <c r="D3" i="7" a="1"/>
  <c r="D3" i="7" s="1"/>
  <c r="G3" i="5" a="1"/>
  <c r="G3" i="5" s="1"/>
  <c r="F3" i="5" a="1"/>
  <c r="F3" i="5" s="1"/>
  <c r="E3" i="5" a="1"/>
  <c r="E3" i="5" s="1"/>
  <c r="D3" i="5" a="1"/>
  <c r="D3" i="5" s="1"/>
  <c r="N23" i="7"/>
  <c r="N7" i="12" a="1"/>
  <c r="M7" i="12" a="1"/>
  <c r="K7" i="12" a="1"/>
  <c r="L7" i="12" a="1"/>
  <c r="B1" i="11"/>
  <c r="C1" i="11" a="1"/>
  <c r="C1" i="11" s="1"/>
  <c r="A1" i="11" a="1"/>
  <c r="A1" i="11" s="1"/>
  <c r="AP33" i="6"/>
  <c r="AO33" i="6"/>
  <c r="AP28" i="6"/>
  <c r="AO28" i="6"/>
  <c r="AP26" i="6"/>
  <c r="AO26" i="6"/>
  <c r="AP24" i="6"/>
  <c r="AO24" i="6"/>
  <c r="AP22" i="6"/>
  <c r="AO22" i="6"/>
  <c r="AY73" i="9"/>
  <c r="D30" i="6"/>
  <c r="AK24" i="6"/>
  <c r="AK33"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3" i="6"/>
  <c r="K3" i="7" l="1"/>
  <c r="U53" i="6"/>
  <c r="AB53" i="6" s="1"/>
  <c r="U54" i="6"/>
  <c r="AB54" i="6" s="1"/>
  <c r="AS54" i="6" s="1"/>
  <c r="L3" i="7"/>
  <c r="V53" i="6"/>
  <c r="AC53" i="6" s="1"/>
  <c r="V54" i="6"/>
  <c r="AC54" i="6" s="1"/>
  <c r="AT54" i="6" s="1"/>
  <c r="X36" i="12"/>
  <c r="AC36" i="12" s="1"/>
  <c r="X37" i="12"/>
  <c r="AC37" i="12" s="1"/>
  <c r="X38" i="12"/>
  <c r="AC38" i="12" s="1"/>
  <c r="W38" i="12"/>
  <c r="AB38" i="12" s="1"/>
  <c r="W36" i="12"/>
  <c r="AB36" i="12" s="1"/>
  <c r="W37" i="12"/>
  <c r="AB37" i="12" s="1"/>
  <c r="Z36" i="12"/>
  <c r="AE36" i="12" s="1"/>
  <c r="Z37" i="12"/>
  <c r="AE37" i="12" s="1"/>
  <c r="Z38" i="12"/>
  <c r="AE38" i="12" s="1"/>
  <c r="Y36" i="12"/>
  <c r="AD36" i="12" s="1"/>
  <c r="Y37" i="12"/>
  <c r="AD37" i="12" s="1"/>
  <c r="Y38" i="12"/>
  <c r="AD38" i="12" s="1"/>
  <c r="L7" i="12"/>
  <c r="X7" i="12" s="1"/>
  <c r="AC7" i="12" s="1"/>
  <c r="X22" i="12"/>
  <c r="AC22" i="12" s="1"/>
  <c r="X9" i="12"/>
  <c r="AC9" i="12" s="1"/>
  <c r="X14" i="12"/>
  <c r="AC14" i="12" s="1"/>
  <c r="X27" i="12"/>
  <c r="AC27" i="12" s="1"/>
  <c r="X18" i="12"/>
  <c r="AC18" i="12" s="1"/>
  <c r="X13" i="12"/>
  <c r="AC13" i="12" s="1"/>
  <c r="X15" i="12"/>
  <c r="AC15" i="12" s="1"/>
  <c r="X11" i="12"/>
  <c r="AC11" i="12" s="1"/>
  <c r="X26" i="12"/>
  <c r="AC26" i="12" s="1"/>
  <c r="X33" i="12"/>
  <c r="AC33" i="12" s="1"/>
  <c r="X32" i="12"/>
  <c r="AC32" i="12" s="1"/>
  <c r="X20" i="12"/>
  <c r="AC20" i="12" s="1"/>
  <c r="X10" i="12"/>
  <c r="AC10" i="12" s="1"/>
  <c r="X35" i="12"/>
  <c r="AC35" i="12" s="1"/>
  <c r="X30" i="12"/>
  <c r="AC30" i="12" s="1"/>
  <c r="X23" i="12"/>
  <c r="AC23" i="12" s="1"/>
  <c r="X34" i="12"/>
  <c r="AC34" i="12" s="1"/>
  <c r="X28" i="12"/>
  <c r="AC28" i="12" s="1"/>
  <c r="X24" i="12"/>
  <c r="AC24" i="12" s="1"/>
  <c r="X17" i="12"/>
  <c r="AC17" i="12" s="1"/>
  <c r="X31" i="12"/>
  <c r="AC31" i="12" s="1"/>
  <c r="X12" i="12"/>
  <c r="AC12" i="12" s="1"/>
  <c r="X8" i="12"/>
  <c r="AC8" i="12" s="1"/>
  <c r="X29" i="12"/>
  <c r="AC29" i="12" s="1"/>
  <c r="X16" i="12"/>
  <c r="AC16" i="12" s="1"/>
  <c r="X21" i="12"/>
  <c r="AC21" i="12" s="1"/>
  <c r="X19" i="12"/>
  <c r="AC19" i="12" s="1"/>
  <c r="M7" i="12"/>
  <c r="Z7" i="12" s="1"/>
  <c r="AE7" i="12" s="1"/>
  <c r="Z9" i="12"/>
  <c r="AE9" i="12" s="1"/>
  <c r="Z22" i="12"/>
  <c r="AE22" i="12" s="1"/>
  <c r="Z30" i="12"/>
  <c r="AE30" i="12" s="1"/>
  <c r="Z34" i="12"/>
  <c r="AE34" i="12" s="1"/>
  <c r="Z33" i="12"/>
  <c r="AE33" i="12" s="1"/>
  <c r="Z24" i="12"/>
  <c r="AE24" i="12" s="1"/>
  <c r="Z8" i="12"/>
  <c r="AE8" i="12" s="1"/>
  <c r="Z20" i="12"/>
  <c r="AE20" i="12" s="1"/>
  <c r="Z32" i="12"/>
  <c r="AE32" i="12" s="1"/>
  <c r="Z35" i="12"/>
  <c r="AE35" i="12" s="1"/>
  <c r="Z21" i="12"/>
  <c r="AE21" i="12" s="1"/>
  <c r="Z28" i="12"/>
  <c r="AE28" i="12" s="1"/>
  <c r="Z12" i="12"/>
  <c r="AE12" i="12" s="1"/>
  <c r="Z10" i="12"/>
  <c r="AE10" i="12" s="1"/>
  <c r="Z29" i="12"/>
  <c r="AE29" i="12" s="1"/>
  <c r="Z19" i="12"/>
  <c r="AE19" i="12" s="1"/>
  <c r="Z17" i="12"/>
  <c r="AE17" i="12" s="1"/>
  <c r="Z15" i="12"/>
  <c r="AE15" i="12" s="1"/>
  <c r="Z11" i="12"/>
  <c r="AE11" i="12" s="1"/>
  <c r="Z13" i="12"/>
  <c r="AE13" i="12" s="1"/>
  <c r="Z23" i="12"/>
  <c r="AE23" i="12" s="1"/>
  <c r="Z31" i="12"/>
  <c r="AE31" i="12" s="1"/>
  <c r="Z18" i="12"/>
  <c r="AE18" i="12" s="1"/>
  <c r="Z26" i="12"/>
  <c r="AE26" i="12" s="1"/>
  <c r="Z14" i="12"/>
  <c r="AE14" i="12" s="1"/>
  <c r="Z16" i="12"/>
  <c r="AE16" i="12" s="1"/>
  <c r="Z27" i="12"/>
  <c r="AE27" i="12" s="1"/>
  <c r="N7" i="12"/>
  <c r="Y7" i="12" s="1"/>
  <c r="AD7" i="12" s="1"/>
  <c r="Y9" i="12"/>
  <c r="AD9" i="12" s="1"/>
  <c r="Y22" i="12"/>
  <c r="AD22" i="12" s="1"/>
  <c r="Y16" i="12"/>
  <c r="AD16" i="12" s="1"/>
  <c r="Y34" i="12"/>
  <c r="AD34" i="12" s="1"/>
  <c r="Y33" i="12"/>
  <c r="AD33" i="12" s="1"/>
  <c r="Y10" i="12"/>
  <c r="AD10" i="12" s="1"/>
  <c r="Y24" i="12"/>
  <c r="AD24" i="12" s="1"/>
  <c r="Y18" i="12"/>
  <c r="AD18" i="12" s="1"/>
  <c r="Y8" i="12"/>
  <c r="AD8" i="12" s="1"/>
  <c r="Y15" i="12"/>
  <c r="AD15" i="12" s="1"/>
  <c r="Y11" i="12"/>
  <c r="AD11" i="12" s="1"/>
  <c r="Y26" i="12"/>
  <c r="AD26" i="12" s="1"/>
  <c r="Y29" i="12"/>
  <c r="AD29" i="12" s="1"/>
  <c r="Y13" i="12"/>
  <c r="AD13" i="12" s="1"/>
  <c r="Y19" i="12"/>
  <c r="AD19" i="12" s="1"/>
  <c r="Y14" i="12"/>
  <c r="AD14" i="12" s="1"/>
  <c r="Y27" i="12"/>
  <c r="AD27" i="12" s="1"/>
  <c r="Y32" i="12"/>
  <c r="AD32" i="12" s="1"/>
  <c r="Y17" i="12"/>
  <c r="AD17" i="12" s="1"/>
  <c r="Y20" i="12"/>
  <c r="AD20" i="12" s="1"/>
  <c r="Y31" i="12"/>
  <c r="AD31" i="12" s="1"/>
  <c r="Y12" i="12"/>
  <c r="AD12" i="12" s="1"/>
  <c r="Y35" i="12"/>
  <c r="AD35" i="12" s="1"/>
  <c r="Y23" i="12"/>
  <c r="AD23" i="12" s="1"/>
  <c r="Y28" i="12"/>
  <c r="AD28" i="12" s="1"/>
  <c r="Y30" i="12"/>
  <c r="AD30" i="12" s="1"/>
  <c r="Y21" i="12"/>
  <c r="AD21" i="12" s="1"/>
  <c r="W22" i="12"/>
  <c r="AB22" i="12" s="1"/>
  <c r="W18" i="12"/>
  <c r="AB18" i="12" s="1"/>
  <c r="W13" i="12"/>
  <c r="AB13" i="12" s="1"/>
  <c r="W12" i="12"/>
  <c r="AB12" i="12" s="1"/>
  <c r="W31" i="12"/>
  <c r="AB31" i="12" s="1"/>
  <c r="W30" i="12"/>
  <c r="AB30" i="12" s="1"/>
  <c r="W15" i="12"/>
  <c r="AB15" i="12" s="1"/>
  <c r="W11" i="12"/>
  <c r="AB11" i="12" s="1"/>
  <c r="W14" i="12"/>
  <c r="AB14" i="12" s="1"/>
  <c r="W34" i="12"/>
  <c r="AB34" i="12" s="1"/>
  <c r="W23" i="12"/>
  <c r="AB23" i="12" s="1"/>
  <c r="W28" i="12"/>
  <c r="AB28" i="12" s="1"/>
  <c r="W32" i="12"/>
  <c r="AB32" i="12" s="1"/>
  <c r="W35" i="12"/>
  <c r="AB35" i="12" s="1"/>
  <c r="W20" i="12"/>
  <c r="AB20" i="12" s="1"/>
  <c r="W10" i="12"/>
  <c r="AB10" i="12" s="1"/>
  <c r="W21" i="12"/>
  <c r="AB21" i="12" s="1"/>
  <c r="W16" i="12"/>
  <c r="AB16" i="12" s="1"/>
  <c r="W19" i="12"/>
  <c r="AB19" i="12" s="1"/>
  <c r="W29" i="12"/>
  <c r="AB29" i="12" s="1"/>
  <c r="W17" i="12"/>
  <c r="AB17" i="12" s="1"/>
  <c r="W33" i="12"/>
  <c r="AB33" i="12" s="1"/>
  <c r="K7" i="12"/>
  <c r="W7" i="12" s="1"/>
  <c r="AB7" i="12" s="1"/>
  <c r="W9" i="12"/>
  <c r="AB9" i="12" s="1"/>
  <c r="W8" i="12"/>
  <c r="AB8" i="12" s="1"/>
  <c r="W24" i="12"/>
  <c r="AB24" i="12" s="1"/>
  <c r="W26" i="12"/>
  <c r="AB26" i="12" s="1"/>
  <c r="W27" i="12"/>
  <c r="AB27" i="12" s="1"/>
  <c r="V52" i="6"/>
  <c r="AC52" i="6" s="1"/>
  <c r="AT52" i="6" s="1"/>
  <c r="U52" i="6"/>
  <c r="AB52" i="6" s="1"/>
  <c r="AS52" i="6" s="1"/>
  <c r="E54" i="7"/>
  <c r="G54" i="7"/>
  <c r="B9" i="11"/>
  <c r="B8" i="11"/>
  <c r="B51" i="11"/>
  <c r="B40" i="11"/>
  <c r="B47" i="11"/>
  <c r="B37" i="11"/>
  <c r="B27" i="11"/>
  <c r="B17" i="11"/>
  <c r="B7" i="11"/>
  <c r="B11" i="11"/>
  <c r="B46" i="11"/>
  <c r="B36" i="11"/>
  <c r="B26" i="11"/>
  <c r="B16" i="11"/>
  <c r="B6" i="11"/>
  <c r="B31" i="11"/>
  <c r="B45" i="11"/>
  <c r="B35" i="11"/>
  <c r="B25" i="11"/>
  <c r="B15" i="11"/>
  <c r="B5" i="11"/>
  <c r="B21" i="11"/>
  <c r="B34" i="11"/>
  <c r="B24" i="11"/>
  <c r="B14" i="11"/>
  <c r="B4" i="11"/>
  <c r="B41" i="11"/>
  <c r="B50" i="11"/>
  <c r="B30" i="11"/>
  <c r="B20" i="11"/>
  <c r="B10" i="11"/>
  <c r="B49" i="11"/>
  <c r="B39" i="11"/>
  <c r="B29" i="11"/>
  <c r="B19" i="11"/>
  <c r="B48" i="11"/>
  <c r="B38" i="11"/>
  <c r="B28" i="11"/>
  <c r="B18" i="11"/>
  <c r="B44" i="11"/>
  <c r="B43" i="11"/>
  <c r="B33" i="11"/>
  <c r="B23" i="11"/>
  <c r="B13" i="11"/>
  <c r="B3" i="11"/>
  <c r="B42" i="11"/>
  <c r="B32" i="11"/>
  <c r="B22" i="11"/>
  <c r="B12" i="11"/>
  <c r="B2" i="11"/>
  <c r="D75" i="8"/>
  <c r="E75" i="8"/>
  <c r="F75" i="8"/>
  <c r="G75" i="8"/>
  <c r="H75" i="8"/>
  <c r="I75" i="8"/>
  <c r="J75" i="8"/>
  <c r="K75" i="8"/>
  <c r="L75" i="8"/>
  <c r="M75" i="8"/>
  <c r="N75" i="8"/>
  <c r="O75" i="8"/>
  <c r="P75" i="8"/>
  <c r="Q75" i="8"/>
  <c r="R75" i="8"/>
  <c r="S75" i="8"/>
  <c r="T75" i="8"/>
  <c r="U75" i="8"/>
  <c r="V75" i="8"/>
  <c r="W75" i="8"/>
  <c r="X75" i="8"/>
  <c r="Y75" i="8"/>
  <c r="Z75" i="8"/>
  <c r="AA75" i="8"/>
  <c r="AB75" i="8"/>
  <c r="AC75" i="8"/>
  <c r="AD75" i="8"/>
  <c r="AE75" i="8"/>
  <c r="AF75" i="8"/>
  <c r="AG75" i="8"/>
  <c r="AH75" i="8"/>
  <c r="AI75" i="8"/>
  <c r="AJ75" i="8"/>
  <c r="AK75" i="8"/>
  <c r="AL75" i="8"/>
  <c r="AM75" i="8"/>
  <c r="AN75" i="8"/>
  <c r="AO75" i="8"/>
  <c r="AP75" i="8"/>
  <c r="AQ75" i="8"/>
  <c r="AR75" i="8"/>
  <c r="AS75" i="8"/>
  <c r="AT75" i="8"/>
  <c r="AU75" i="8"/>
  <c r="AV75" i="8"/>
  <c r="AW75" i="8"/>
  <c r="AX75" i="8"/>
  <c r="AY75" i="8"/>
  <c r="C75" i="8"/>
  <c r="AP79" i="9"/>
  <c r="AQ68" i="9"/>
  <c r="AQ79" i="9" s="1"/>
  <c r="AR68" i="9"/>
  <c r="AR79" i="9" s="1"/>
  <c r="AS68" i="9"/>
  <c r="AS79" i="9" s="1"/>
  <c r="AT68" i="9"/>
  <c r="AT79" i="9" s="1"/>
  <c r="AU68" i="9"/>
  <c r="AU79" i="9" s="1"/>
  <c r="AV68" i="9"/>
  <c r="AV79" i="9" s="1"/>
  <c r="AW68" i="9"/>
  <c r="AW79" i="9" s="1"/>
  <c r="AX68" i="9"/>
  <c r="AX79" i="9" s="1"/>
  <c r="X79" i="9"/>
  <c r="Y79" i="9"/>
  <c r="Z79" i="9"/>
  <c r="AA79" i="9"/>
  <c r="AB79" i="9"/>
  <c r="AC79" i="9"/>
  <c r="AD79" i="9"/>
  <c r="AE79" i="9"/>
  <c r="AF79" i="9"/>
  <c r="AG79" i="9"/>
  <c r="AH68" i="9"/>
  <c r="AH79" i="9" s="1"/>
  <c r="AI68" i="9"/>
  <c r="AI79" i="9" s="1"/>
  <c r="AJ68" i="9"/>
  <c r="AJ79" i="9" s="1"/>
  <c r="AK68" i="9"/>
  <c r="AK79" i="9" s="1"/>
  <c r="AL68" i="9"/>
  <c r="AL79" i="9" s="1"/>
  <c r="AM68" i="9"/>
  <c r="AM79" i="9" s="1"/>
  <c r="AN68" i="9"/>
  <c r="AN79" i="9" s="1"/>
  <c r="D79" i="9"/>
  <c r="E79" i="9"/>
  <c r="F79" i="9"/>
  <c r="G79" i="9"/>
  <c r="H79" i="9"/>
  <c r="I79" i="9"/>
  <c r="J79" i="9"/>
  <c r="K79" i="9"/>
  <c r="L79" i="9"/>
  <c r="M79" i="9"/>
  <c r="N79" i="9"/>
  <c r="O79" i="9"/>
  <c r="P79" i="9"/>
  <c r="Q79" i="9"/>
  <c r="R79" i="9"/>
  <c r="S79" i="9"/>
  <c r="T79" i="9"/>
  <c r="U79" i="9"/>
  <c r="V79" i="9"/>
  <c r="W79" i="9"/>
  <c r="C79" i="9"/>
  <c r="Y51" i="6"/>
  <c r="Y57" i="6"/>
  <c r="AJ34" i="6"/>
  <c r="AJ35" i="6" s="1"/>
  <c r="O7" i="6"/>
  <c r="O18" i="6"/>
  <c r="O19" i="6"/>
  <c r="O20" i="6"/>
  <c r="O21" i="6"/>
  <c r="O17" i="6"/>
  <c r="AY68" i="9"/>
  <c r="AY79" i="9" s="1"/>
  <c r="J29" i="6"/>
  <c r="J31" i="6"/>
  <c r="AP31" i="6" s="1"/>
  <c r="AP32" i="6" s="1"/>
  <c r="J32" i="6"/>
  <c r="J15" i="6"/>
  <c r="I15" i="6"/>
  <c r="I16" i="6"/>
  <c r="I14" i="6"/>
  <c r="I13" i="6"/>
  <c r="I12" i="6"/>
  <c r="J12" i="6"/>
  <c r="I11" i="6"/>
  <c r="I17" i="6"/>
  <c r="I18" i="6"/>
  <c r="I19" i="6"/>
  <c r="I20" i="6"/>
  <c r="I21" i="6"/>
  <c r="J13" i="6"/>
  <c r="J16" i="6"/>
  <c r="J14" i="6"/>
  <c r="J3" i="6"/>
  <c r="J4" i="6"/>
  <c r="J5" i="6"/>
  <c r="J6" i="6"/>
  <c r="J7" i="6"/>
  <c r="AP7" i="6" s="1"/>
  <c r="J8" i="6"/>
  <c r="J9" i="6"/>
  <c r="J10" i="6"/>
  <c r="J11" i="6"/>
  <c r="J17" i="6"/>
  <c r="J18" i="6"/>
  <c r="J19" i="6"/>
  <c r="J20" i="6"/>
  <c r="J21" i="6"/>
  <c r="AP12" i="6" l="1"/>
  <c r="AO12" i="6"/>
  <c r="G91" i="8"/>
  <c r="G69" i="8"/>
  <c r="AU91" i="8"/>
  <c r="AU69" i="8"/>
  <c r="Q91" i="8"/>
  <c r="Q69" i="8"/>
  <c r="AJ69" i="8"/>
  <c r="AJ91" i="8"/>
  <c r="Z91" i="8"/>
  <c r="Z69" i="8"/>
  <c r="F91" i="8"/>
  <c r="F69" i="8"/>
  <c r="Y91" i="8"/>
  <c r="Y69" i="8"/>
  <c r="N91" i="8"/>
  <c r="N69" i="8"/>
  <c r="W91" i="8"/>
  <c r="W69" i="8"/>
  <c r="C69" i="8"/>
  <c r="C91" i="8"/>
  <c r="AE69" i="8"/>
  <c r="AE91" i="8"/>
  <c r="AD69" i="8"/>
  <c r="AD91" i="8"/>
  <c r="T91" i="8"/>
  <c r="T69" i="8"/>
  <c r="J69" i="8"/>
  <c r="J91" i="8"/>
  <c r="AK69" i="8"/>
  <c r="AK91" i="8"/>
  <c r="AT69" i="8"/>
  <c r="AT91" i="8"/>
  <c r="P91" i="8"/>
  <c r="P69" i="8"/>
  <c r="AR69" i="8"/>
  <c r="AR91" i="8"/>
  <c r="X91" i="8"/>
  <c r="X69" i="8"/>
  <c r="D91" i="8"/>
  <c r="D69" i="8"/>
  <c r="AQ91" i="8"/>
  <c r="AQ69" i="8"/>
  <c r="AP91" i="8"/>
  <c r="AF91" i="8"/>
  <c r="AF69" i="8"/>
  <c r="L91" i="8"/>
  <c r="L69" i="8"/>
  <c r="AY91" i="8"/>
  <c r="AY69" i="8"/>
  <c r="U91" i="8"/>
  <c r="U69" i="8"/>
  <c r="AX69" i="8"/>
  <c r="AX91" i="8"/>
  <c r="AW69" i="8"/>
  <c r="AW91" i="8"/>
  <c r="AM91" i="8"/>
  <c r="AM69" i="8"/>
  <c r="AC69" i="8"/>
  <c r="AC91" i="8"/>
  <c r="S69" i="8"/>
  <c r="S91" i="8"/>
  <c r="I91" i="8"/>
  <c r="I69" i="8"/>
  <c r="AA91" i="8"/>
  <c r="AA69" i="8"/>
  <c r="AS69" i="8"/>
  <c r="AS91" i="8"/>
  <c r="AI91" i="8"/>
  <c r="AI69" i="8"/>
  <c r="O91" i="8"/>
  <c r="O69" i="8"/>
  <c r="E91" i="8"/>
  <c r="E69" i="8"/>
  <c r="AH91" i="8"/>
  <c r="AH69" i="8"/>
  <c r="AG69" i="8"/>
  <c r="AG91" i="8"/>
  <c r="M69" i="8"/>
  <c r="M91" i="8"/>
  <c r="V69" i="8"/>
  <c r="V91" i="8"/>
  <c r="AO69" i="8"/>
  <c r="AO91" i="8"/>
  <c r="K91" i="8"/>
  <c r="K69" i="8"/>
  <c r="AN91" i="8"/>
  <c r="AN69" i="8"/>
  <c r="AV69" i="8"/>
  <c r="AV91" i="8"/>
  <c r="AL69" i="8"/>
  <c r="AL91" i="8"/>
  <c r="AB69" i="8"/>
  <c r="AB91" i="8"/>
  <c r="R91" i="8"/>
  <c r="R69" i="8"/>
  <c r="H91" i="8"/>
  <c r="H69" i="8"/>
  <c r="AO17" i="6"/>
  <c r="AP17" i="6"/>
  <c r="AP3" i="6"/>
  <c r="AP10" i="6"/>
  <c r="AP8" i="6"/>
  <c r="AP11" i="6"/>
  <c r="F47" i="6"/>
  <c r="F48" i="6"/>
  <c r="F49" i="6"/>
  <c r="F50" i="6"/>
  <c r="AJ51" i="6"/>
  <c r="AK51" i="6"/>
  <c r="E53" i="7" l="1"/>
  <c r="T24" i="6"/>
  <c r="T52" i="6"/>
  <c r="G53" i="7"/>
  <c r="T19" i="6"/>
  <c r="T43" i="6"/>
  <c r="T23" i="6"/>
  <c r="T38" i="6"/>
  <c r="T35" i="6"/>
  <c r="T42" i="6"/>
  <c r="T25" i="6"/>
  <c r="T14" i="6"/>
  <c r="T12" i="6"/>
  <c r="T18" i="6"/>
  <c r="T46" i="6"/>
  <c r="T15" i="6"/>
  <c r="T4" i="6"/>
  <c r="T31" i="6"/>
  <c r="T8" i="6"/>
  <c r="T36" i="6"/>
  <c r="T5" i="6"/>
  <c r="T41" i="6"/>
  <c r="AA41" i="6" s="1"/>
  <c r="T49" i="6"/>
  <c r="T26" i="6"/>
  <c r="T39" i="6"/>
  <c r="T16" i="6"/>
  <c r="T9" i="6"/>
  <c r="T22" i="6"/>
  <c r="T50" i="6"/>
  <c r="T20" i="6"/>
  <c r="T30" i="6"/>
  <c r="T29" i="6"/>
  <c r="T13" i="6"/>
  <c r="T40" i="6"/>
  <c r="T34" i="6"/>
  <c r="T28" i="6"/>
  <c r="T10" i="6"/>
  <c r="T11" i="6"/>
  <c r="T47" i="6"/>
  <c r="T32" i="6"/>
  <c r="T37" i="6"/>
  <c r="AA37" i="6" s="1"/>
  <c r="T6" i="6"/>
  <c r="AA6" i="6" s="1"/>
  <c r="T33" i="6"/>
  <c r="T27" i="6"/>
  <c r="T21" i="6"/>
  <c r="T51" i="6"/>
  <c r="AA51" i="6" s="1"/>
  <c r="AR51" i="6" s="1"/>
  <c r="P50" i="11" s="1"/>
  <c r="T17" i="6"/>
  <c r="T48" i="6"/>
  <c r="T7" i="6"/>
  <c r="T45" i="6"/>
  <c r="T44" i="6"/>
  <c r="Y50" i="6"/>
  <c r="AJ50" i="6"/>
  <c r="AK50" i="6"/>
  <c r="Y49" i="6"/>
  <c r="AJ49" i="6"/>
  <c r="AK49" i="6"/>
  <c r="Y48" i="6"/>
  <c r="AK48" i="6"/>
  <c r="AJ48" i="6"/>
  <c r="Y47" i="6"/>
  <c r="AK47" i="6"/>
  <c r="AJ47" i="6"/>
  <c r="T3" i="6"/>
  <c r="D4" i="6"/>
  <c r="D5" i="6"/>
  <c r="D6" i="6"/>
  <c r="D7" i="6"/>
  <c r="D8" i="6"/>
  <c r="D9" i="6"/>
  <c r="D10" i="6"/>
  <c r="D11" i="6"/>
  <c r="D12" i="6"/>
  <c r="D13" i="6"/>
  <c r="D14" i="6"/>
  <c r="D15" i="6"/>
  <c r="D16" i="6"/>
  <c r="D17" i="6"/>
  <c r="D18" i="6"/>
  <c r="D19" i="6"/>
  <c r="D20" i="6"/>
  <c r="D21" i="6"/>
  <c r="D22" i="6"/>
  <c r="D23" i="6"/>
  <c r="D24" i="6"/>
  <c r="D25" i="6"/>
  <c r="D26" i="6"/>
  <c r="D27" i="6"/>
  <c r="D28" i="6"/>
  <c r="D29" i="6"/>
  <c r="D31" i="6"/>
  <c r="D32" i="6"/>
  <c r="D33" i="6"/>
  <c r="D34" i="6"/>
  <c r="D35" i="6"/>
  <c r="D36" i="6"/>
  <c r="D37" i="6"/>
  <c r="D38" i="6"/>
  <c r="D39" i="6"/>
  <c r="D40" i="6"/>
  <c r="D41" i="6"/>
  <c r="D42" i="6"/>
  <c r="D43" i="6"/>
  <c r="D44" i="6"/>
  <c r="D45" i="6"/>
  <c r="D46" i="6"/>
  <c r="D47" i="6"/>
  <c r="D48" i="6"/>
  <c r="D49" i="6"/>
  <c r="D50" i="6"/>
  <c r="D51" i="6"/>
  <c r="D3" i="6"/>
  <c r="I4" i="6"/>
  <c r="I5" i="6"/>
  <c r="I6" i="6"/>
  <c r="I7" i="6"/>
  <c r="AO7" i="6" s="1"/>
  <c r="I8" i="6"/>
  <c r="I9" i="6"/>
  <c r="I10" i="6"/>
  <c r="AO10" i="6" s="1"/>
  <c r="I3" i="6"/>
  <c r="H32" i="6"/>
  <c r="H31" i="6"/>
  <c r="H29" i="6"/>
  <c r="I29" i="6"/>
  <c r="I31" i="6"/>
  <c r="AO31" i="6" s="1"/>
  <c r="AO32" i="6" s="1"/>
  <c r="I32" i="6"/>
  <c r="AJ24" i="6"/>
  <c r="AJ25" i="6" s="1"/>
  <c r="D71" i="8"/>
  <c r="E71" i="8"/>
  <c r="F71" i="8"/>
  <c r="G71" i="8"/>
  <c r="H71" i="8"/>
  <c r="I71" i="8"/>
  <c r="J71" i="8"/>
  <c r="K71" i="8"/>
  <c r="L71" i="8"/>
  <c r="M71" i="8"/>
  <c r="N71" i="8"/>
  <c r="O71" i="8"/>
  <c r="P71" i="8"/>
  <c r="Q71" i="8"/>
  <c r="R71" i="8"/>
  <c r="S71" i="8"/>
  <c r="T71" i="8"/>
  <c r="U71" i="8"/>
  <c r="V71" i="8"/>
  <c r="W71" i="8"/>
  <c r="X71" i="8"/>
  <c r="Y71" i="8"/>
  <c r="Z71" i="8"/>
  <c r="AA71" i="8"/>
  <c r="AB71" i="8"/>
  <c r="AC71" i="8"/>
  <c r="AD71" i="8"/>
  <c r="AE71" i="8"/>
  <c r="AF71" i="8"/>
  <c r="AG71" i="8"/>
  <c r="AH71" i="8"/>
  <c r="AI71" i="8"/>
  <c r="AJ71" i="8"/>
  <c r="AK71" i="8"/>
  <c r="AL71" i="8"/>
  <c r="AM71" i="8"/>
  <c r="AN71" i="8"/>
  <c r="AO71" i="8"/>
  <c r="AP71" i="8"/>
  <c r="AQ71" i="8"/>
  <c r="AR71" i="8"/>
  <c r="AS71" i="8"/>
  <c r="AT71" i="8"/>
  <c r="AU71" i="8"/>
  <c r="AV71" i="8"/>
  <c r="AW71" i="8"/>
  <c r="AX71" i="8"/>
  <c r="AY71" i="8"/>
  <c r="D72" i="8"/>
  <c r="E72" i="8"/>
  <c r="F72" i="8"/>
  <c r="G72" i="8"/>
  <c r="H72" i="8"/>
  <c r="I72" i="8"/>
  <c r="J72" i="8"/>
  <c r="K72" i="8"/>
  <c r="L72" i="8"/>
  <c r="M72" i="8"/>
  <c r="N72" i="8"/>
  <c r="O72" i="8"/>
  <c r="P72" i="8"/>
  <c r="Q72" i="8"/>
  <c r="R72" i="8"/>
  <c r="S72" i="8"/>
  <c r="T72" i="8"/>
  <c r="U72" i="8"/>
  <c r="V72" i="8"/>
  <c r="W72" i="8"/>
  <c r="X72" i="8"/>
  <c r="Y72" i="8"/>
  <c r="Z72" i="8"/>
  <c r="AA72" i="8"/>
  <c r="AB72" i="8"/>
  <c r="AC72" i="8"/>
  <c r="AD72" i="8"/>
  <c r="AE72" i="8"/>
  <c r="AF72" i="8"/>
  <c r="AG72" i="8"/>
  <c r="AH72" i="8"/>
  <c r="AI72" i="8"/>
  <c r="AJ72" i="8"/>
  <c r="AK72" i="8"/>
  <c r="AL72" i="8"/>
  <c r="AM72" i="8"/>
  <c r="AN72" i="8"/>
  <c r="AO72" i="8"/>
  <c r="AP72" i="8"/>
  <c r="AQ72" i="8"/>
  <c r="AR72" i="8"/>
  <c r="AS72" i="8"/>
  <c r="AT72" i="8"/>
  <c r="AU72" i="8"/>
  <c r="AV72" i="8"/>
  <c r="AW72" i="8"/>
  <c r="AX72" i="8"/>
  <c r="AY72" i="8"/>
  <c r="D73" i="8"/>
  <c r="E73" i="8"/>
  <c r="F73" i="8"/>
  <c r="G73" i="8"/>
  <c r="H73" i="8"/>
  <c r="I73" i="8"/>
  <c r="J73" i="8"/>
  <c r="K73" i="8"/>
  <c r="L73" i="8"/>
  <c r="M73" i="8"/>
  <c r="N73" i="8"/>
  <c r="O73" i="8"/>
  <c r="P73" i="8"/>
  <c r="Q73" i="8"/>
  <c r="R73" i="8"/>
  <c r="S73" i="8"/>
  <c r="T73" i="8"/>
  <c r="U73" i="8"/>
  <c r="V73" i="8"/>
  <c r="W73" i="8"/>
  <c r="X73" i="8"/>
  <c r="Y73" i="8"/>
  <c r="Z73" i="8"/>
  <c r="AA73" i="8"/>
  <c r="AB73" i="8"/>
  <c r="AC73" i="8"/>
  <c r="AD73" i="8"/>
  <c r="AE73" i="8"/>
  <c r="AF73" i="8"/>
  <c r="AG73" i="8"/>
  <c r="AH73" i="8"/>
  <c r="AI73" i="8"/>
  <c r="AJ73" i="8"/>
  <c r="AK73" i="8"/>
  <c r="AL73" i="8"/>
  <c r="AM73" i="8"/>
  <c r="AN73" i="8"/>
  <c r="AO73" i="8"/>
  <c r="AP73" i="8"/>
  <c r="AQ73" i="8"/>
  <c r="AR73" i="8"/>
  <c r="AS73" i="8"/>
  <c r="AT73" i="8"/>
  <c r="AU73" i="8"/>
  <c r="AV73" i="8"/>
  <c r="AW73" i="8"/>
  <c r="AX73" i="8"/>
  <c r="AY73" i="8"/>
  <c r="C73" i="8"/>
  <c r="C72" i="8"/>
  <c r="C71" i="8"/>
  <c r="N27" i="7"/>
  <c r="N26" i="7"/>
  <c r="N25" i="7"/>
  <c r="V50" i="6"/>
  <c r="AC50" i="6" s="1"/>
  <c r="U51" i="6"/>
  <c r="AB51" i="6" s="1"/>
  <c r="O4" i="6"/>
  <c r="O5" i="6"/>
  <c r="O6" i="6"/>
  <c r="O8" i="6"/>
  <c r="O9" i="6"/>
  <c r="O10" i="6"/>
  <c r="O11" i="6"/>
  <c r="L12" i="6"/>
  <c r="O12" i="6"/>
  <c r="O13" i="6"/>
  <c r="O14" i="6"/>
  <c r="O15" i="6"/>
  <c r="O16" i="6"/>
  <c r="L31" i="6"/>
  <c r="L32" i="6"/>
  <c r="AJ33" i="6"/>
  <c r="AK34" i="6"/>
  <c r="AK35" i="6" s="1"/>
  <c r="H27" i="5"/>
  <c r="H26" i="5"/>
  <c r="H25" i="5"/>
  <c r="H23" i="5"/>
  <c r="D1" i="11" l="1" a="1"/>
  <c r="D1" i="11" s="1"/>
  <c r="AA52" i="6"/>
  <c r="AR52" i="6" s="1"/>
  <c r="P51" i="11" s="1"/>
  <c r="AB57" i="6"/>
  <c r="AS57" i="6" s="1"/>
  <c r="AX57" i="6" s="1"/>
  <c r="AS51" i="6"/>
  <c r="AA47" i="6"/>
  <c r="S52" i="6"/>
  <c r="E52" i="7"/>
  <c r="AA57" i="6"/>
  <c r="AR57" i="6" s="1"/>
  <c r="AO3" i="6"/>
  <c r="AO8" i="6"/>
  <c r="AO11" i="6"/>
  <c r="AT50" i="6"/>
  <c r="AY50" i="6" s="1"/>
  <c r="G52" i="7"/>
  <c r="S3" i="6"/>
  <c r="Z3" i="6" s="1"/>
  <c r="S9" i="6"/>
  <c r="Z9" i="6" s="1"/>
  <c r="S19" i="6"/>
  <c r="Z19" i="6" s="1"/>
  <c r="S29" i="6"/>
  <c r="Z29" i="6" s="1"/>
  <c r="S39" i="6"/>
  <c r="Z39" i="6" s="1"/>
  <c r="S49" i="6"/>
  <c r="Z49" i="6" s="1"/>
  <c r="S11" i="6"/>
  <c r="Z11" i="6" s="1"/>
  <c r="S31" i="6"/>
  <c r="Z31" i="6" s="1"/>
  <c r="S51" i="6"/>
  <c r="S12" i="6"/>
  <c r="Z12" i="6" s="1"/>
  <c r="S32" i="6"/>
  <c r="Z32" i="6" s="1"/>
  <c r="S6" i="6"/>
  <c r="Z6" i="6" s="1"/>
  <c r="S7" i="6"/>
  <c r="Z7" i="6" s="1"/>
  <c r="AQ7" i="6" s="1"/>
  <c r="S37" i="6"/>
  <c r="Z37" i="6" s="1"/>
  <c r="S38" i="6"/>
  <c r="Z38" i="6" s="1"/>
  <c r="AQ38" i="6" s="1"/>
  <c r="S10" i="6"/>
  <c r="Z10" i="6" s="1"/>
  <c r="S20" i="6"/>
  <c r="Z20" i="6" s="1"/>
  <c r="S30" i="6"/>
  <c r="Z30" i="6" s="1"/>
  <c r="S40" i="6"/>
  <c r="Z40" i="6" s="1"/>
  <c r="S50" i="6"/>
  <c r="Z50" i="6" s="1"/>
  <c r="AQ50" i="6" s="1"/>
  <c r="S21" i="6"/>
  <c r="Z21" i="6" s="1"/>
  <c r="S41" i="6"/>
  <c r="Z41" i="6" s="1"/>
  <c r="S22" i="6"/>
  <c r="Z22" i="6" s="1"/>
  <c r="S42" i="6"/>
  <c r="S26" i="6"/>
  <c r="Z26" i="6" s="1"/>
  <c r="S17" i="6"/>
  <c r="Z17" i="6" s="1"/>
  <c r="S47" i="6"/>
  <c r="Z47" i="6" s="1"/>
  <c r="S28" i="6"/>
  <c r="Z28" i="6" s="1"/>
  <c r="S13" i="6"/>
  <c r="Z13" i="6" s="1"/>
  <c r="S23" i="6"/>
  <c r="Z23" i="6" s="1"/>
  <c r="S33" i="6"/>
  <c r="Z33" i="6" s="1"/>
  <c r="AQ33" i="6" s="1"/>
  <c r="S43" i="6"/>
  <c r="S4" i="6"/>
  <c r="Z4" i="6" s="1"/>
  <c r="S14" i="6"/>
  <c r="Z14" i="6" s="1"/>
  <c r="S24" i="6"/>
  <c r="Z24" i="6" s="1"/>
  <c r="S34" i="6"/>
  <c r="Z34" i="6" s="1"/>
  <c r="S44" i="6"/>
  <c r="Z44" i="6" s="1"/>
  <c r="S5" i="6"/>
  <c r="Z5" i="6" s="1"/>
  <c r="S15" i="6"/>
  <c r="Z15" i="6" s="1"/>
  <c r="S25" i="6"/>
  <c r="Z25" i="6" s="1"/>
  <c r="S35" i="6"/>
  <c r="Z35" i="6" s="1"/>
  <c r="S45" i="6"/>
  <c r="Z45" i="6" s="1"/>
  <c r="S16" i="6"/>
  <c r="Z16" i="6" s="1"/>
  <c r="S46" i="6"/>
  <c r="Z46" i="6" s="1"/>
  <c r="S27" i="6"/>
  <c r="Z27" i="6" s="1"/>
  <c r="S36" i="6"/>
  <c r="Z36" i="6" s="1"/>
  <c r="S18" i="6"/>
  <c r="Z18" i="6" s="1"/>
  <c r="S48" i="6"/>
  <c r="Z48" i="6" s="1"/>
  <c r="AQ48" i="6" s="1"/>
  <c r="S8" i="6"/>
  <c r="Z8" i="6" s="1"/>
  <c r="AK25" i="6"/>
  <c r="E48" i="7"/>
  <c r="E49" i="7"/>
  <c r="E10" i="7"/>
  <c r="E13" i="7"/>
  <c r="E24" i="7"/>
  <c r="E25" i="7"/>
  <c r="E36" i="7"/>
  <c r="E37" i="7"/>
  <c r="E4" i="7"/>
  <c r="E16" i="7"/>
  <c r="E28" i="7"/>
  <c r="E40" i="7"/>
  <c r="G29" i="7"/>
  <c r="E5" i="7"/>
  <c r="E6" i="7"/>
  <c r="E44" i="7"/>
  <c r="E7" i="7"/>
  <c r="E19" i="7"/>
  <c r="E33" i="7"/>
  <c r="E45" i="7"/>
  <c r="E14" i="7"/>
  <c r="E26" i="7"/>
  <c r="E38" i="7"/>
  <c r="E50" i="7"/>
  <c r="E15" i="7"/>
  <c r="E27" i="7"/>
  <c r="E39" i="7"/>
  <c r="E17" i="7"/>
  <c r="E43" i="7"/>
  <c r="E18" i="7"/>
  <c r="E30" i="7"/>
  <c r="E8" i="7"/>
  <c r="E20" i="7"/>
  <c r="E34" i="7"/>
  <c r="E46" i="7"/>
  <c r="E9" i="7"/>
  <c r="E23" i="7"/>
  <c r="E35" i="7"/>
  <c r="E47" i="7"/>
  <c r="U12" i="6"/>
  <c r="AB12" i="6" s="1"/>
  <c r="U32" i="6"/>
  <c r="AB32" i="6" s="1"/>
  <c r="V11" i="6"/>
  <c r="AC11" i="6" s="1"/>
  <c r="V21" i="6"/>
  <c r="AC21" i="6" s="1"/>
  <c r="V31" i="6"/>
  <c r="AC31" i="6" s="1"/>
  <c r="V51" i="6"/>
  <c r="AC51" i="6" s="1"/>
  <c r="U3" i="6"/>
  <c r="U33" i="6"/>
  <c r="AB33" i="6" s="1"/>
  <c r="AS33" i="6" s="1"/>
  <c r="AX33" i="6" s="1"/>
  <c r="V32" i="6"/>
  <c r="AC32" i="6" s="1"/>
  <c r="U4" i="6"/>
  <c r="AB4" i="6" s="1"/>
  <c r="U34" i="6"/>
  <c r="AB34" i="6" s="1"/>
  <c r="V33" i="6"/>
  <c r="AC33" i="6" s="1"/>
  <c r="AT33" i="6" s="1"/>
  <c r="AY33" i="6" s="1"/>
  <c r="V44" i="6"/>
  <c r="AC44" i="6" s="1"/>
  <c r="U16" i="6"/>
  <c r="AB16" i="6" s="1"/>
  <c r="V35" i="6"/>
  <c r="AC35" i="6" s="1"/>
  <c r="U8" i="6"/>
  <c r="AB8" i="6" s="1"/>
  <c r="U18" i="6"/>
  <c r="AB18" i="6" s="1"/>
  <c r="U28" i="6"/>
  <c r="AB28" i="6" s="1"/>
  <c r="U38" i="6"/>
  <c r="AB38" i="6" s="1"/>
  <c r="AS38" i="6" s="1"/>
  <c r="AX38" i="6" s="1"/>
  <c r="U48" i="6"/>
  <c r="AB48" i="6" s="1"/>
  <c r="AS48" i="6" s="1"/>
  <c r="AX48" i="6" s="1"/>
  <c r="V7" i="6"/>
  <c r="AC7" i="6" s="1"/>
  <c r="AT7" i="6" s="1"/>
  <c r="AY7" i="6" s="1"/>
  <c r="V17" i="6"/>
  <c r="AC17" i="6" s="1"/>
  <c r="V27" i="6"/>
  <c r="AC27" i="6" s="1"/>
  <c r="V37" i="6"/>
  <c r="AC37" i="6" s="1"/>
  <c r="V47" i="6"/>
  <c r="AC47" i="6" s="1"/>
  <c r="E11" i="7"/>
  <c r="E21" i="7"/>
  <c r="E31" i="7"/>
  <c r="E41" i="7"/>
  <c r="E51" i="7"/>
  <c r="U9" i="6"/>
  <c r="AB9" i="6" s="1"/>
  <c r="U19" i="6"/>
  <c r="AB19" i="6" s="1"/>
  <c r="U39" i="6"/>
  <c r="AB39" i="6" s="1"/>
  <c r="U49" i="6"/>
  <c r="AB49" i="6" s="1"/>
  <c r="V8" i="6"/>
  <c r="AC8" i="6" s="1"/>
  <c r="V18" i="6"/>
  <c r="AC18" i="6" s="1"/>
  <c r="V28" i="6"/>
  <c r="AC28" i="6" s="1"/>
  <c r="V38" i="6"/>
  <c r="AC38" i="6" s="1"/>
  <c r="AT38" i="6" s="1"/>
  <c r="AY38" i="6" s="1"/>
  <c r="V48" i="6"/>
  <c r="AC48" i="6" s="1"/>
  <c r="AT48" i="6" s="1"/>
  <c r="AY48" i="6" s="1"/>
  <c r="U22" i="6"/>
  <c r="AB22" i="6" s="1"/>
  <c r="U42" i="6"/>
  <c r="AB42" i="6" s="1"/>
  <c r="V41" i="6"/>
  <c r="AC41" i="6" s="1"/>
  <c r="U13" i="6"/>
  <c r="AB13" i="6" s="1"/>
  <c r="U23" i="6"/>
  <c r="AB23" i="6" s="1"/>
  <c r="U43" i="6"/>
  <c r="AB43" i="6" s="1"/>
  <c r="AS43" i="6" s="1"/>
  <c r="AX43" i="6" s="1"/>
  <c r="V12" i="6"/>
  <c r="AC12" i="6" s="1"/>
  <c r="V42" i="6"/>
  <c r="AC42" i="6" s="1"/>
  <c r="U14" i="6"/>
  <c r="AB14" i="6" s="1"/>
  <c r="V3" i="6"/>
  <c r="AC3" i="6" s="1"/>
  <c r="U15" i="6"/>
  <c r="AB15" i="6" s="1"/>
  <c r="U35" i="6"/>
  <c r="AB35" i="6" s="1"/>
  <c r="V34" i="6"/>
  <c r="AC34" i="6" s="1"/>
  <c r="U6" i="6"/>
  <c r="AB6" i="6" s="1"/>
  <c r="U26" i="6"/>
  <c r="AB26" i="6" s="1"/>
  <c r="U36" i="6"/>
  <c r="AB36" i="6" s="1"/>
  <c r="U46" i="6"/>
  <c r="AB46" i="6" s="1"/>
  <c r="V5" i="6"/>
  <c r="AC5" i="6" s="1"/>
  <c r="V15" i="6"/>
  <c r="AC15" i="6" s="1"/>
  <c r="V25" i="6"/>
  <c r="AC25" i="6" s="1"/>
  <c r="V45" i="6"/>
  <c r="AC45" i="6" s="1"/>
  <c r="U7" i="6"/>
  <c r="AB7" i="6" s="1"/>
  <c r="AS7" i="6" s="1"/>
  <c r="AX7" i="6" s="1"/>
  <c r="U17" i="6"/>
  <c r="AB17" i="6" s="1"/>
  <c r="U27" i="6"/>
  <c r="AB27" i="6" s="1"/>
  <c r="U37" i="6"/>
  <c r="AB37" i="6" s="1"/>
  <c r="U47" i="6"/>
  <c r="AB47" i="6" s="1"/>
  <c r="V6" i="6"/>
  <c r="AC6" i="6" s="1"/>
  <c r="V16" i="6"/>
  <c r="AC16" i="6" s="1"/>
  <c r="V26" i="6"/>
  <c r="AC26" i="6" s="1"/>
  <c r="V46" i="6"/>
  <c r="AC46" i="6" s="1"/>
  <c r="E12" i="7"/>
  <c r="E22" i="7"/>
  <c r="E32" i="7"/>
  <c r="E42" i="7"/>
  <c r="G51" i="7"/>
  <c r="U10" i="6"/>
  <c r="U20" i="6"/>
  <c r="AB20" i="6" s="1"/>
  <c r="U30" i="6"/>
  <c r="AB30" i="6" s="1"/>
  <c r="U40" i="6"/>
  <c r="AB40" i="6" s="1"/>
  <c r="U50" i="6"/>
  <c r="V9" i="6"/>
  <c r="AC9" i="6" s="1"/>
  <c r="V19" i="6"/>
  <c r="AC19" i="6" s="1"/>
  <c r="V39" i="6"/>
  <c r="AC39" i="6" s="1"/>
  <c r="V49" i="6"/>
  <c r="AC49" i="6" s="1"/>
  <c r="V22" i="6"/>
  <c r="AC22" i="6" s="1"/>
  <c r="U24" i="6"/>
  <c r="AB24" i="6" s="1"/>
  <c r="U44" i="6"/>
  <c r="AB44" i="6" s="1"/>
  <c r="V13" i="6"/>
  <c r="AC13" i="6" s="1"/>
  <c r="V23" i="6"/>
  <c r="AC23" i="6" s="1"/>
  <c r="V43" i="6"/>
  <c r="AC43" i="6" s="1"/>
  <c r="AT43" i="6" s="1"/>
  <c r="AY43" i="6" s="1"/>
  <c r="U5" i="6"/>
  <c r="AB5" i="6" s="1"/>
  <c r="U25" i="6"/>
  <c r="AB25" i="6" s="1"/>
  <c r="U45" i="6"/>
  <c r="AB45" i="6" s="1"/>
  <c r="V4" i="6"/>
  <c r="AC4" i="6" s="1"/>
  <c r="V14" i="6"/>
  <c r="AC14" i="6" s="1"/>
  <c r="V24" i="6"/>
  <c r="AC24" i="6" s="1"/>
  <c r="V36" i="6"/>
  <c r="AC36" i="6" s="1"/>
  <c r="U11" i="6"/>
  <c r="AB11" i="6" s="1"/>
  <c r="U21" i="6"/>
  <c r="AB21" i="6" s="1"/>
  <c r="U31" i="6"/>
  <c r="AB31" i="6" s="1"/>
  <c r="U41" i="6"/>
  <c r="AB41" i="6" s="1"/>
  <c r="V10" i="6"/>
  <c r="AC10" i="6" s="1"/>
  <c r="V20" i="6"/>
  <c r="AC20" i="6" s="1"/>
  <c r="V30" i="6"/>
  <c r="AC30" i="6" s="1"/>
  <c r="V40" i="6"/>
  <c r="AC40" i="6" s="1"/>
  <c r="N29" i="5"/>
  <c r="M29" i="5"/>
  <c r="L29" i="5"/>
  <c r="K29" i="5"/>
  <c r="AW57" i="6" l="1"/>
  <c r="P56" i="11"/>
  <c r="Z42" i="6"/>
  <c r="AQ42" i="6" s="1"/>
  <c r="Q42" i="6"/>
  <c r="Z43" i="6"/>
  <c r="AQ43" i="6" s="1"/>
  <c r="AV43" i="6" s="1"/>
  <c r="Q43" i="6"/>
  <c r="AV38" i="6"/>
  <c r="O37" i="11"/>
  <c r="AV42" i="6"/>
  <c r="O41" i="11"/>
  <c r="AV7" i="6"/>
  <c r="O6" i="11"/>
  <c r="O42" i="11"/>
  <c r="AV33" i="6"/>
  <c r="O32" i="11"/>
  <c r="AQ3" i="6"/>
  <c r="O2" i="11" s="1"/>
  <c r="AV50" i="6"/>
  <c r="O49" i="11"/>
  <c r="AQ11" i="6"/>
  <c r="O10" i="11" s="1"/>
  <c r="AV48" i="6"/>
  <c r="O47" i="11"/>
  <c r="Z52" i="6"/>
  <c r="AQ52" i="6" s="1"/>
  <c r="O51" i="11" s="1"/>
  <c r="AC57" i="6"/>
  <c r="AT57" i="6" s="1"/>
  <c r="AY57" i="6" s="1"/>
  <c r="AT51" i="6"/>
  <c r="AT24" i="6"/>
  <c r="AY24" i="6" s="1"/>
  <c r="AQ39" i="6"/>
  <c r="Z51" i="6"/>
  <c r="AQ51" i="6" s="1"/>
  <c r="O50" i="11" s="1"/>
  <c r="AT36" i="6"/>
  <c r="AY36" i="6" s="1"/>
  <c r="AS42" i="6"/>
  <c r="AX42" i="6" s="1"/>
  <c r="AD49" i="6"/>
  <c r="AD47" i="6"/>
  <c r="AD48" i="6"/>
  <c r="AD50" i="6"/>
  <c r="AS11" i="6"/>
  <c r="AX11" i="6" s="1"/>
  <c r="AS8" i="6"/>
  <c r="AX8" i="6" s="1"/>
  <c r="AT8" i="6"/>
  <c r="AY8" i="6" s="1"/>
  <c r="AS39" i="6"/>
  <c r="AX39" i="6" s="1"/>
  <c r="AT11" i="6"/>
  <c r="AY11" i="6" s="1"/>
  <c r="AQ36" i="6"/>
  <c r="AS3" i="6"/>
  <c r="AX3" i="6" s="1"/>
  <c r="AQ17" i="6"/>
  <c r="AV3" i="6"/>
  <c r="AQ8" i="6"/>
  <c r="AQ12" i="6"/>
  <c r="AQ10" i="6"/>
  <c r="AT3" i="6"/>
  <c r="AY3" i="6" s="1"/>
  <c r="AT42" i="6"/>
  <c r="AY42" i="6" s="1"/>
  <c r="AH47" i="6"/>
  <c r="AQ31" i="6"/>
  <c r="AA32" i="6"/>
  <c r="G32" i="7"/>
  <c r="AA21" i="6"/>
  <c r="G21" i="7"/>
  <c r="AA10" i="6"/>
  <c r="G10" i="7"/>
  <c r="AA36" i="6"/>
  <c r="G36" i="7"/>
  <c r="AA5" i="6"/>
  <c r="G5" i="7"/>
  <c r="AA19" i="6"/>
  <c r="G19" i="7"/>
  <c r="R29" i="7"/>
  <c r="E29" i="7"/>
  <c r="AA44" i="6"/>
  <c r="G44" i="7"/>
  <c r="AA25" i="6"/>
  <c r="G25" i="7"/>
  <c r="AA28" i="6"/>
  <c r="G28" i="7"/>
  <c r="AA24" i="6"/>
  <c r="G24" i="7"/>
  <c r="AA33" i="6"/>
  <c r="AR33" i="6" s="1"/>
  <c r="G33" i="7"/>
  <c r="AA14" i="6"/>
  <c r="G14" i="7"/>
  <c r="AA23" i="6"/>
  <c r="G23" i="7"/>
  <c r="G37" i="7"/>
  <c r="AA13" i="6"/>
  <c r="G13" i="7"/>
  <c r="AA8" i="6"/>
  <c r="G8" i="7"/>
  <c r="AA4" i="6"/>
  <c r="G4" i="7"/>
  <c r="AA16" i="6"/>
  <c r="G16" i="7"/>
  <c r="AA39" i="6"/>
  <c r="G39" i="7"/>
  <c r="AA9" i="6"/>
  <c r="G9" i="7"/>
  <c r="AA22" i="6"/>
  <c r="G22" i="7"/>
  <c r="AA12" i="6"/>
  <c r="G12" i="7"/>
  <c r="AA3" i="6"/>
  <c r="G3" i="7"/>
  <c r="AA43" i="6"/>
  <c r="AR43" i="6" s="1"/>
  <c r="G43" i="7"/>
  <c r="AA7" i="6"/>
  <c r="AR7" i="6" s="1"/>
  <c r="G7" i="7"/>
  <c r="AA38" i="6"/>
  <c r="AR38" i="6" s="1"/>
  <c r="G38" i="7"/>
  <c r="AA27" i="6"/>
  <c r="G27" i="7"/>
  <c r="AA45" i="6"/>
  <c r="G45" i="7"/>
  <c r="AA40" i="6"/>
  <c r="G40" i="7"/>
  <c r="G47" i="7"/>
  <c r="AA15" i="6"/>
  <c r="G15" i="7"/>
  <c r="G41" i="7"/>
  <c r="AA30" i="6"/>
  <c r="G30" i="7"/>
  <c r="AT44" i="6"/>
  <c r="AY44" i="6" s="1"/>
  <c r="AA34" i="6"/>
  <c r="G34" i="7"/>
  <c r="AA48" i="6"/>
  <c r="AR48" i="6" s="1"/>
  <c r="G48" i="7"/>
  <c r="AA46" i="6"/>
  <c r="G46" i="7"/>
  <c r="AA26" i="6"/>
  <c r="G26" i="7"/>
  <c r="AA11" i="6"/>
  <c r="G11" i="7"/>
  <c r="G6" i="7"/>
  <c r="AA50" i="6"/>
  <c r="AR50" i="6" s="1"/>
  <c r="G50" i="7"/>
  <c r="AA42" i="6"/>
  <c r="AR42" i="6" s="1"/>
  <c r="G42" i="7"/>
  <c r="AA31" i="6"/>
  <c r="G31" i="7"/>
  <c r="AA20" i="6"/>
  <c r="G20" i="7"/>
  <c r="AA49" i="6"/>
  <c r="G49" i="7"/>
  <c r="AA18" i="6"/>
  <c r="G18" i="7"/>
  <c r="AA35" i="6"/>
  <c r="G35" i="7"/>
  <c r="AA17" i="6"/>
  <c r="G17" i="7"/>
  <c r="AQ47" i="6"/>
  <c r="AQ44" i="6"/>
  <c r="AQ24" i="6"/>
  <c r="AQ22" i="6"/>
  <c r="AS17" i="6"/>
  <c r="AX17" i="6" s="1"/>
  <c r="AS26" i="6"/>
  <c r="AX26" i="6" s="1"/>
  <c r="AS47" i="6"/>
  <c r="AX47" i="6" s="1"/>
  <c r="AS36" i="6"/>
  <c r="AX36" i="6" s="1"/>
  <c r="AT12" i="6"/>
  <c r="AY12" i="6" s="1"/>
  <c r="AQ32" i="6"/>
  <c r="AQ28" i="6"/>
  <c r="AT39" i="6"/>
  <c r="AY39" i="6" s="1"/>
  <c r="AS12" i="6"/>
  <c r="AX12" i="6" s="1"/>
  <c r="AQ26" i="6"/>
  <c r="AT17" i="6"/>
  <c r="AY17" i="6" s="1"/>
  <c r="AS24" i="6"/>
  <c r="AX24" i="6" s="1"/>
  <c r="AS22" i="6"/>
  <c r="AX22" i="6" s="1"/>
  <c r="AT10" i="6"/>
  <c r="AY10" i="6" s="1"/>
  <c r="AS31" i="6"/>
  <c r="AX31" i="6" s="1"/>
  <c r="AT22" i="6"/>
  <c r="AY22" i="6" s="1"/>
  <c r="AS10" i="6"/>
  <c r="AX10" i="6" s="1"/>
  <c r="AT47" i="6"/>
  <c r="AY47" i="6" s="1"/>
  <c r="AT31" i="6"/>
  <c r="AY31" i="6" s="1"/>
  <c r="AS44" i="6"/>
  <c r="AX44" i="6" s="1"/>
  <c r="AT26" i="6"/>
  <c r="AY26" i="6" s="1"/>
  <c r="AB50" i="6"/>
  <c r="AE50" i="6" s="1"/>
  <c r="AE48" i="6"/>
  <c r="AH50" i="6"/>
  <c r="AH49" i="6"/>
  <c r="AH48" i="6"/>
  <c r="U29" i="7"/>
  <c r="V29" i="6"/>
  <c r="AC29" i="6" s="1"/>
  <c r="AT32" i="6" s="1"/>
  <c r="AY32" i="6" s="1"/>
  <c r="S29" i="7"/>
  <c r="AA29" i="6"/>
  <c r="AE49" i="6"/>
  <c r="T29" i="7"/>
  <c r="U29" i="6"/>
  <c r="AB29" i="6" s="1"/>
  <c r="AS28" i="6" s="1"/>
  <c r="AX28" i="6" s="1"/>
  <c r="AE47" i="6"/>
  <c r="AW43" i="6" l="1"/>
  <c r="P42" i="11"/>
  <c r="AW7" i="6"/>
  <c r="P6" i="11"/>
  <c r="AW33" i="6"/>
  <c r="P32" i="11"/>
  <c r="AW42" i="6"/>
  <c r="P41" i="11"/>
  <c r="AW48" i="6"/>
  <c r="P47" i="11"/>
  <c r="AW50" i="6"/>
  <c r="P49" i="11"/>
  <c r="AW38" i="6"/>
  <c r="P37" i="11"/>
  <c r="AV11" i="6"/>
  <c r="AV47" i="6"/>
  <c r="O46" i="11"/>
  <c r="AV17" i="6"/>
  <c r="O16" i="11"/>
  <c r="AV36" i="6"/>
  <c r="O35" i="11"/>
  <c r="AV12" i="6"/>
  <c r="O11" i="11"/>
  <c r="AV28" i="6"/>
  <c r="O27" i="11"/>
  <c r="AV8" i="6"/>
  <c r="O7" i="11"/>
  <c r="AV44" i="6"/>
  <c r="O43" i="11"/>
  <c r="AV32" i="6"/>
  <c r="O31" i="11"/>
  <c r="AV31" i="6"/>
  <c r="O30" i="11"/>
  <c r="AV26" i="6"/>
  <c r="O25" i="11"/>
  <c r="AV22" i="6"/>
  <c r="O21" i="11"/>
  <c r="AV24" i="6"/>
  <c r="O23" i="11"/>
  <c r="AV10" i="6"/>
  <c r="O9" i="11"/>
  <c r="AV39" i="6"/>
  <c r="O38" i="11"/>
  <c r="Z57" i="6"/>
  <c r="AQ57" i="6" s="1"/>
  <c r="AR3" i="6"/>
  <c r="AR8" i="6"/>
  <c r="AR11" i="6"/>
  <c r="AR39" i="6"/>
  <c r="AR26" i="6"/>
  <c r="AR47" i="6"/>
  <c r="AR31" i="6"/>
  <c r="AR44" i="6"/>
  <c r="AR24" i="6"/>
  <c r="AR36" i="6"/>
  <c r="AR10" i="6"/>
  <c r="AR17" i="6"/>
  <c r="AR12" i="6"/>
  <c r="AR28" i="6"/>
  <c r="AR22" i="6"/>
  <c r="AR32" i="6"/>
  <c r="AS32" i="6"/>
  <c r="AX32" i="6" s="1"/>
  <c r="AT28" i="6"/>
  <c r="AY28" i="6" s="1"/>
  <c r="AS50" i="6"/>
  <c r="AX50" i="6" s="1"/>
  <c r="AW8" i="6" l="1"/>
  <c r="P7" i="11"/>
  <c r="AW32" i="6"/>
  <c r="P31" i="11"/>
  <c r="AW47" i="6"/>
  <c r="P46" i="11"/>
  <c r="AW22" i="6"/>
  <c r="P21" i="11"/>
  <c r="AW26" i="6"/>
  <c r="P25" i="11"/>
  <c r="AW28" i="6"/>
  <c r="P27" i="11"/>
  <c r="AW39" i="6"/>
  <c r="P38" i="11"/>
  <c r="AW11" i="6"/>
  <c r="P10" i="11"/>
  <c r="AW10" i="6"/>
  <c r="P9" i="11"/>
  <c r="AW12" i="6"/>
  <c r="P11" i="11"/>
  <c r="AW36" i="6"/>
  <c r="P35" i="11"/>
  <c r="AW17" i="6"/>
  <c r="P16" i="11"/>
  <c r="AW3" i="6"/>
  <c r="P2" i="11"/>
  <c r="AW24" i="6"/>
  <c r="P23" i="11"/>
  <c r="AW44" i="6"/>
  <c r="P43" i="11"/>
  <c r="AW31" i="6"/>
  <c r="P30" i="11"/>
  <c r="F1" i="11" a="1"/>
  <c r="F1" i="11" s="1"/>
  <c r="AV57" i="6"/>
  <c r="O5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tc={2DEF682B-8370-DC41-AD0E-5C4B7C1953AC}</author>
    <author>tc={2ECF6C12-6DBA-7C4C-B101-61F10B1FB311}</author>
    <author>tc={E05F38D1-53BD-5244-B8B2-DF753714F85E}</author>
    <author>tc={D15F59F0-E973-0C43-AE1A-01AF79B4288F}</author>
    <author>tc={0154C36F-B2C7-B645-B300-18C9A5B46A17}</author>
    <author>tc={407FD9BF-DA2D-F44F-AB6A-B58AE5E5BA26}</author>
  </authors>
  <commentList>
    <comment ref="AY65" authorId="0" shapeId="0" xr:uid="{2DEF682B-8370-DC41-AD0E-5C4B7C1953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Exergy extraction from the ground is not considered in the LCA CExD, probably due to the fact the the exergy extracted depends on the temperatures - which vary. This value is therefore valid only for the exergy input of the pre-chain.</t>
      </text>
    </comment>
    <comment ref="A69" authorId="1" shapeId="0" xr:uid="{2ECF6C12-6DBA-7C4C-B101-61F10B1FB3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is the fundamental value to calculate resource exergy factors, since chemical exergy of water is considered transit exergy as it is usually not used by the energy system to generate useful energy.</t>
      </text>
    </comment>
    <comment ref="AM69" authorId="2" shapeId="0" xr:uid="{E05F38D1-53BD-5244-B8B2-DF753714F8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Water energy is not added here, because it is already considered as potential or kinetic exergy, while both categories do not exist for energy.</t>
      </text>
    </comment>
    <comment ref="AL78" authorId="3" shapeId="0" xr:uid="{D15F59F0-E973-0C43-AE1A-01AF79B428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Here, an efficiency for the conversion of non-storable to storable energy was originally also applied (value was approx. 3.87).</t>
      </text>
    </comment>
    <comment ref="AJ79" authorId="4" shapeId="0" xr:uid="{0154C36F-B2C7-B645-B300-18C9A5B46A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Here, the solar value was correctly given as 3.58 MJ/kWh. PV and solar thermal are thus inconsistent.</t>
      </text>
    </comment>
    <comment ref="AR79" authorId="5" shapeId="0" xr:uid="{407FD9BF-DA2D-F44F-AB6A-B58AE5E5BA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Heat from solar thermal is evaluated with the Carnot factor when using REA. Therefore solar energy is not balanced if at a later stage the Carnot factor of heat is added to the pre-chain exergy input.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tc={0FCA0E97-1519-6A4A-BB7A-16848E6DDB2D}</author>
    <author>tc={BC82A274-38AD-7241-A5BE-580B3EA04A31}</author>
    <author>tc={5AF0B973-2AEC-D84D-925B-38EFDA669652}</author>
    <author>tc={225BEE41-74F2-8248-8D32-F07B64D44BFB}</author>
    <author>tc={4A7F3C4D-67DC-B34A-B52A-DA3100D62222}</author>
    <author>tc={C7693BCD-9681-524B-A9F0-DBDF11C38009}</author>
  </authors>
  <commentList>
    <comment ref="AO68" authorId="0" shapeId="0" xr:uid="{0FCA0E97-1519-6A4A-BB7A-16848E6DDB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Adapted since the energy balance has to be fulfilled.</t>
      </text>
    </comment>
    <comment ref="AZ68" authorId="1" shapeId="0" xr:uid="{BC82A274-38AD-7241-A5BE-580B3EA04A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Adapted since the energy balance has to be fulfilled.</t>
      </text>
    </comment>
    <comment ref="AJ73" authorId="2" shapeId="0" xr:uid="{5AF0B973-2AEC-D84D-925B-38EFDA6696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Originally, values of about 3.85 were used here. That is, some conversion losses appear to be accounted for. However, since REA does not account for conversion losses from non-storable to storable energy, the use of RE was each set at 1 unit per product or 3.6 MJ/KWh. 
It is striking that in all other data sets (including wood, etc.) the wind, solar, geo use is very low (50 times lower than the difference of 0.25 for PV and wind). Therefore, it cannot be assumed that the 0.25 was brought in via renewable electricity, otherwise one would see proportionally high values for other technologies as well. </t>
      </text>
    </comment>
    <comment ref="AR73" authorId="3" shapeId="0" xr:uid="{225BEE41-74F2-8248-8D32-F07B64D44B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Set to 1 since REA does not account for losses from Solar to Heat.</t>
      </text>
    </comment>
    <comment ref="AU73" authorId="4" shapeId="0" xr:uid="{4A7F3C4D-67DC-B34A-B52A-DA3100D622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Set to 0 as there were inconsistencies between the heat pumps. Air-source had very low values and geothermal high ones. Likely this was meant to indicate energy extraction. However, for air it did not fulfill the energy balance 0,13 MJ/MJ from wind. So it was set to 0. Heat extraction from the environment is considered in the table Richtvert assessment, when calculating final CED.</t>
      </text>
    </comment>
    <comment ref="AY73" authorId="5" shapeId="0" xr:uid="{C7693BCD-9681-524B-A9F0-DBDF11C380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deep geothermal electricity generation has an electrical efficiency of 14%. This means 1 unit of electricity is produced per 7,14 units of geothermal heat. Since the standard unit is kWh however, 7,14 kWh of heat are needed which requires a multiplication by 3,6 MJ/kWh. 
It was agreed with ESU that the original database entry was likely wrong in terms of the units being used. However, it was assumed that only geothermal energy has been given for MJ while all other values were provided for kWh.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tc={ADF8BA41-F697-634F-8C2E-17D5547AA902}</author>
    <author>tc={88232503-AA5A-1942-B88F-0016865AE369}</author>
  </authors>
  <commentList>
    <comment ref="AO8" authorId="0" shapeId="0" xr:uid="{ADF8BA41-F697-634F-8C2E-17D5547AA9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Source for natural gas density of 0.712 kg/m3: 
https://www.unitrove.com/engineering/tools/gas/natural-gas-density</t>
      </text>
    </comment>
    <comment ref="Y57" authorId="1" shapeId="0" xr:uid="{88232503-AA5A-1942-B88F-0016865AE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Stromerzeugung durch Gütegrad = Carnotfaktor</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tc={D4D01909-8EAA-6B44-A1E9-E5CA2F5E1FD2}</author>
  </authors>
  <commentList>
    <comment ref="C54" authorId="0" shapeId="0" xr:uid="{D4D01909-8EAA-6B44-A1E9-E5CA2F5E1F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Has been edited. Water exergy is transit exergy for REA. Thus the exergy was replaced by the energy from water to be consistent.</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<sst xmlns="http://schemas.openxmlformats.org/spreadsheetml/2006/main" count="3630" uniqueCount="799">
  <si>
    <t xml:space="preserve">Calculation: </t>
  </si>
  <si>
    <t>Compare</t>
  </si>
  <si>
    <t xml:space="preserve">Results: </t>
  </si>
  <si>
    <t>Impact assessment</t>
  </si>
  <si>
    <t xml:space="preserve">Product 1: </t>
  </si>
  <si>
    <t xml:space="preserve">Product 2: </t>
  </si>
  <si>
    <t xml:space="preserve">Product 3: </t>
  </si>
  <si>
    <t xml:space="preserve">Product 4: </t>
  </si>
  <si>
    <t xml:space="preserve">Product 5: </t>
  </si>
  <si>
    <t>1 kg heavy fuel oil, at regional storage/kg/RER U (of project ESU database 2022 UVEK)</t>
  </si>
  <si>
    <t xml:space="preserve">Product 6: </t>
  </si>
  <si>
    <t xml:space="preserve">Product 7: </t>
  </si>
  <si>
    <t>1 m3 natural gas, production RU, at long-distance pipeline/m3/DE U (of project ESU database 2022 UVEK)</t>
  </si>
  <si>
    <t xml:space="preserve">Product 8: </t>
  </si>
  <si>
    <t>1 m3 natural gas, liquefied, production US, at harbour/RER U (of project ESU database 2022 UVEK)</t>
  </si>
  <si>
    <t xml:space="preserve">Product 9: </t>
  </si>
  <si>
    <t>1 m3 natural gas, liquefied, production QA, at harbour/RER U (of project ESU database 2022 UVEK)</t>
  </si>
  <si>
    <t xml:space="preserve">Product 10: </t>
  </si>
  <si>
    <t xml:space="preserve">Product 11: </t>
  </si>
  <si>
    <t xml:space="preserve">Product 12: </t>
  </si>
  <si>
    <t xml:space="preserve">Product 13: </t>
  </si>
  <si>
    <t xml:space="preserve">Product 14: </t>
  </si>
  <si>
    <t xml:space="preserve">Product 15: </t>
  </si>
  <si>
    <t xml:space="preserve">Product 16: </t>
  </si>
  <si>
    <t xml:space="preserve">Product 17: </t>
  </si>
  <si>
    <t xml:space="preserve">Product 18: </t>
  </si>
  <si>
    <t xml:space="preserve">Product 19: </t>
  </si>
  <si>
    <t xml:space="preserve">Product 20: </t>
  </si>
  <si>
    <t>1 m3 biogas, production mix, at storage/m3/CH U (of project ESU database 2022 UVEK)</t>
  </si>
  <si>
    <t xml:space="preserve">Product 21: </t>
  </si>
  <si>
    <t>1 m3 biogas, from maize silage, co-digestion, at storage/m3/CH U (of project ESU database 2022 UVEK)</t>
  </si>
  <si>
    <t xml:space="preserve">Product 22: </t>
  </si>
  <si>
    <t>1 m3 methane, 96 vol-%, from biogas, at purification/m3/CH U (of project ESU database 2022 UVEK)</t>
  </si>
  <si>
    <t xml:space="preserve">Product 23: </t>
  </si>
  <si>
    <t xml:space="preserve">Product 24: </t>
  </si>
  <si>
    <t>1 kg Rape oil, at regional storage/CH U (of project ESU database 2022 UVEK)</t>
  </si>
  <si>
    <t xml:space="preserve">Product 25: </t>
  </si>
  <si>
    <t xml:space="preserve">Product 26: </t>
  </si>
  <si>
    <t>1 kg wood chips, production mix, wet, measured as dry mass, at forest road &amp; at sawmill/kg/RER (of project ESU database 2022 UVEK)</t>
  </si>
  <si>
    <t xml:space="preserve">Product 27: </t>
  </si>
  <si>
    <t>1 m3 Waste wood chips, mixed, from industry, u=40%, at plant/CH U (of project ESU database 2022 UVEK)</t>
  </si>
  <si>
    <t xml:space="preserve">Product 28: </t>
  </si>
  <si>
    <t>1 kg Wood chips, wet, measured as dry mass {CA-QC}| market for wood chips, wet, measured as dry mass | Cut-off, U (of project Ecoinvent 3 - allocation, cut-off by classification - unit)</t>
  </si>
  <si>
    <t xml:space="preserve">Product 29: </t>
  </si>
  <si>
    <t xml:space="preserve">Product 30: </t>
  </si>
  <si>
    <t>1 kg wood pellet, measured as dry mass, at plant/kg/RER (of project ESU database 2022 UVEK)</t>
  </si>
  <si>
    <t xml:space="preserve">Product 31: </t>
  </si>
  <si>
    <t xml:space="preserve">Product 32: </t>
  </si>
  <si>
    <t>1 kg Hydrogen, cracking, APME, at plant/RER U (of project ESU database 2022 UVEK)</t>
  </si>
  <si>
    <t xml:space="preserve">Product 33: </t>
  </si>
  <si>
    <t xml:space="preserve">Product 34: </t>
  </si>
  <si>
    <t xml:space="preserve">Product 35: </t>
  </si>
  <si>
    <t>1 kWh Electricity, at wind power plant/RER U (of project ESU database 2022 UVEK)</t>
  </si>
  <si>
    <t xml:space="preserve">Product 36: </t>
  </si>
  <si>
    <t>1 kWh electricity, hydropower, at run-of-river power plant/kWh/RER U (of project ESU database 2022 UVEK)</t>
  </si>
  <si>
    <t xml:space="preserve">Product 37: </t>
  </si>
  <si>
    <t>1 kWh electricity, hydropower, at reservoir power plant, non alpine regions/kWh/RER U (of project ESU database 2022 UVEK)</t>
  </si>
  <si>
    <t xml:space="preserve">Product 38: </t>
  </si>
  <si>
    <t>1 kWh Electricity from waste, at municipal waste incineration plant/CH U (of project ESU database 2022 UVEK)</t>
  </si>
  <si>
    <t xml:space="preserve">Product 39: </t>
  </si>
  <si>
    <t xml:space="preserve">Product 40: </t>
  </si>
  <si>
    <t xml:space="preserve">Product 41: </t>
  </si>
  <si>
    <t>1 MJ heat, at 30 m2 Cu collector, multiple dwelling, flat roof, for hot water/CH U (of project ESU database 2022 UVEK)</t>
  </si>
  <si>
    <t xml:space="preserve">Product 42: </t>
  </si>
  <si>
    <t>1 MJ heat, at 30 m2 Cu collector, multiple dwelling, slanted roof, for hot water/CH U (of project ESU database 2022 UVEK)</t>
  </si>
  <si>
    <t xml:space="preserve">Product 43: </t>
  </si>
  <si>
    <t>1 MJ heat, at 10.5 m2 evacuated tube collector, heat pipe, one-family house, for combined system/CH U (of project ESU database 2022 UVEK)</t>
  </si>
  <si>
    <t xml:space="preserve">Product 44: </t>
  </si>
  <si>
    <t xml:space="preserve">Product 45: </t>
  </si>
  <si>
    <t xml:space="preserve">Product 46: </t>
  </si>
  <si>
    <t xml:space="preserve">Product 47: </t>
  </si>
  <si>
    <t xml:space="preserve">Product 48: </t>
  </si>
  <si>
    <t>1 kWh Electricity, high voltage {DE}| electricity production, deep geothermal | Cut-off, U (of project Ecoinvent 3 - allocation, cut-off by classification - unit)</t>
  </si>
  <si>
    <t xml:space="preserve">Product 49: </t>
  </si>
  <si>
    <t>1 MJ Heat from waste, at municipal waste incineration plant/CH U (of project ESU database 2022 UVEK)</t>
  </si>
  <si>
    <t xml:space="preserve">Method: </t>
  </si>
  <si>
    <t>Cumulative Exergy Demand V1.07 / Cumulative exergy demand</t>
  </si>
  <si>
    <t xml:space="preserve">Indicator: </t>
  </si>
  <si>
    <t>Single score</t>
  </si>
  <si>
    <t xml:space="preserve">Skip categories: </t>
  </si>
  <si>
    <t>Never</t>
  </si>
  <si>
    <t xml:space="preserve">Default units: </t>
  </si>
  <si>
    <t>Yes</t>
  </si>
  <si>
    <t xml:space="preserve">Exclude infrastructure processes: </t>
  </si>
  <si>
    <t>No</t>
  </si>
  <si>
    <t xml:space="preserve">Exclude long-term emissions: </t>
  </si>
  <si>
    <t xml:space="preserve">Sorted on item: </t>
  </si>
  <si>
    <t>Impact category</t>
  </si>
  <si>
    <t xml:space="preserve">Sort order: </t>
  </si>
  <si>
    <t>Ascending</t>
  </si>
  <si>
    <t>Unit</t>
  </si>
  <si>
    <t>light fuel oil, production US, at regional storage/kg/RER U</t>
  </si>
  <si>
    <t>light fuel oil, production SA, at regional storage/kg/RER U</t>
  </si>
  <si>
    <t>light fuel oil, production RU, at regional storage/kg/RER U</t>
  </si>
  <si>
    <t>light fuel oil, production CA, at regional storage/kg/RER U</t>
  </si>
  <si>
    <t>heavy fuel oil, at regional storage/kg/RER U</t>
  </si>
  <si>
    <t>natural gas, production RU, at long-distance pipeline/m3/DE U</t>
  </si>
  <si>
    <t>natural gas, liquefied, production US, at harbour/RER U</t>
  </si>
  <si>
    <t>natural gas, liquefied, production QA, at harbour/RER U</t>
  </si>
  <si>
    <t>Hard coal, production RU, at regional storage/DE U</t>
  </si>
  <si>
    <t>Hard coal, production US, at regional storage/DE U</t>
  </si>
  <si>
    <t>Hard coal, production AU, at regional storage/DE U</t>
  </si>
  <si>
    <t>Hard coal, production CO, at regional storage/DE U</t>
  </si>
  <si>
    <t>Hard coal, production IN, at regional storage/DE U</t>
  </si>
  <si>
    <t>lignite, production DE, at regional storage/DE U</t>
  </si>
  <si>
    <t>lignite, production PO, at regional storage/DE U</t>
  </si>
  <si>
    <t>lignite, production US, at regional storage/DE U</t>
  </si>
  <si>
    <t>lignite, production CN, at regional storage/DE U</t>
  </si>
  <si>
    <t>lignite, production RU, at regional storage/DE U</t>
  </si>
  <si>
    <t>biogas, production mix, at storage/m3/CH U</t>
  </si>
  <si>
    <t>biogas, from maize silage, co-digestion, at storage/m3/CH U</t>
  </si>
  <si>
    <t>methane, 96 vol-%, from biogas, at purification/m3/CH U</t>
  </si>
  <si>
    <t>methane, 96 vol-%, from biogas, from maize silage, at purification/m3/RER U</t>
  </si>
  <si>
    <t>Rape oil, at regional storage/CH U</t>
  </si>
  <si>
    <t>palm oil, at regional storage/CH U</t>
  </si>
  <si>
    <t>wood chips, production mix, wet, measured as dry mass, at forest road &amp; at sawmill/kg/RER</t>
  </si>
  <si>
    <t>Waste wood chips, mixed, from industry, u=40%, at plant/CH U</t>
  </si>
  <si>
    <t>Wood chips, wet, measured as dry mass {CA-QC}| market for wood chips, wet, measured as dry mass | Cut-off, U</t>
  </si>
  <si>
    <t>wood pellet, from wastewood, measured as dry mass, at plant/kg/RER</t>
  </si>
  <si>
    <t>wood pellet, measured as dry mass, at plant/kg/RER</t>
  </si>
  <si>
    <t>Hydrogen, liquid, from water electrolysis, renewable electricity, at plant/DE U</t>
  </si>
  <si>
    <t>Hydrogen, cracking, APME, at plant/RER U</t>
  </si>
  <si>
    <t>electricity, photovoltaic mix flat-roof, at plant/CH U</t>
  </si>
  <si>
    <t>electricity, photovoltaic mix slanted-roof, at plant/CH U</t>
  </si>
  <si>
    <t>Electricity, at wind power plant/RER U</t>
  </si>
  <si>
    <t>electricity, hydropower, at run-of-river power plant/kWh/RER U</t>
  </si>
  <si>
    <t>electricity, hydropower, at reservoir power plant, non alpine regions/kWh/RER U</t>
  </si>
  <si>
    <t>Electricity from waste, at municipal waste incineration plant/CH U</t>
  </si>
  <si>
    <t>heat, at 30 m2 Cu collector, multiple dwelling, flat roof, for hot water/CH U</t>
  </si>
  <si>
    <t>heat, at 30 m2 Cu collector, multiple dwelling, slanted roof, for hot water/CH U</t>
  </si>
  <si>
    <t>heat, at 10.5 m2 evacuated tube collector, heat pipe, one-family house, for combined system/CH U</t>
  </si>
  <si>
    <t>Heat, borehole heat exchanger, at brine-water heat pump 10kW/DE U</t>
  </si>
  <si>
    <t>Heat, at air-water heat pump 10kW/DE U</t>
  </si>
  <si>
    <t>heat, at groundwater heat pump, 10kW/MJ/DE U</t>
  </si>
  <si>
    <t>heat, at water heat pump, 13MW/MJ/DE U</t>
  </si>
  <si>
    <t>Electricity, high voltage {DE}| electricity production, deep geothermal | Cut-off, U</t>
  </si>
  <si>
    <t>Heat from waste, at municipal waste incineration plant/CH U</t>
  </si>
  <si>
    <t>Total</t>
  </si>
  <si>
    <t>MJ</t>
  </si>
  <si>
    <t>Non renewable, fossil</t>
  </si>
  <si>
    <t>Non renewable, nuclear</t>
  </si>
  <si>
    <t>Renewable, kinetic</t>
  </si>
  <si>
    <t>Renewable, solar</t>
  </si>
  <si>
    <t>Renewable, potential</t>
  </si>
  <si>
    <t>Non renewable, primary</t>
  </si>
  <si>
    <t>Renewable , biomass</t>
  </si>
  <si>
    <t>Renewable, water</t>
  </si>
  <si>
    <t>Non renewable, metals</t>
  </si>
  <si>
    <t>Non renewable, minerals</t>
  </si>
  <si>
    <t>Cumulative Energy Demand V1.11 / Cumulative energy demand</t>
  </si>
  <si>
    <t>Non-renewable, nuclear</t>
  </si>
  <si>
    <t>Non-renewable, biomass</t>
  </si>
  <si>
    <t>Renewable, biomass</t>
  </si>
  <si>
    <t>Renewable, wind, solar, geothe</t>
  </si>
  <si>
    <t>Heizöl (USA)</t>
  </si>
  <si>
    <t>Heizöl (Saudi Arabien)</t>
  </si>
  <si>
    <t>Heizöl (Russland)</t>
  </si>
  <si>
    <t>Heizöl (aus Kanadischen Ölsanden)</t>
  </si>
  <si>
    <t xml:space="preserve">Schweröl </t>
  </si>
  <si>
    <t>Erdgas (Pipeline aus Europa (ohne Russland)</t>
  </si>
  <si>
    <t>Erdgas (Pipeline aus Russland)</t>
  </si>
  <si>
    <t>Erdgas (Flüssiggas aus USA, konventionelle Förderung)</t>
  </si>
  <si>
    <t>Erdgas (Flüssiggas aus Katar o.ä.)</t>
  </si>
  <si>
    <t>Steinkohle (Russland)</t>
  </si>
  <si>
    <t>Steinkohle (USA)</t>
  </si>
  <si>
    <t>Steinkohle (Australien)</t>
  </si>
  <si>
    <t>Steinkohle (Kolumbien)</t>
  </si>
  <si>
    <t>Steinkohle (Indonesien)</t>
  </si>
  <si>
    <t>Braunkohle (Deutschland)</t>
  </si>
  <si>
    <t>Braunkohle (Polen)</t>
  </si>
  <si>
    <t>Braunkohle (USA)</t>
  </si>
  <si>
    <t>Braunkohle (China)</t>
  </si>
  <si>
    <t>Braunkohle (Russland)</t>
  </si>
  <si>
    <t>Biogas (Gülle und Reststoffe, direkt aus Biogasanlagen)</t>
  </si>
  <si>
    <t>Biogas (Mais und Anbaubiomasse, direkt aus Biogasanlagen)</t>
  </si>
  <si>
    <t>Biomethan (Gülle und Reststoffe)</t>
  </si>
  <si>
    <t>Biomethan (Mais und Anbaubiomasse)</t>
  </si>
  <si>
    <t>Bioöl (Rapsöl)</t>
  </si>
  <si>
    <t>Bioöl (Palmöl)</t>
  </si>
  <si>
    <t>Holz - Hackschnitzel (Anbaubiomasse)</t>
  </si>
  <si>
    <t>Holz - Hackschnitzel (Restholz)</t>
  </si>
  <si>
    <t>Holz - Hackschnitzel (Kanada, Anbaubiomasse)</t>
  </si>
  <si>
    <t>Holz - Pellets (Restholz)</t>
  </si>
  <si>
    <t>Holz - Pellets (Anbaubiomasse)</t>
  </si>
  <si>
    <t>Grüner Wasserstoff (aus PV / Windstrom - zum Vergleich)</t>
  </si>
  <si>
    <t>Strom aus Windkraft</t>
  </si>
  <si>
    <t>Strom aus Laufwasserkraft</t>
  </si>
  <si>
    <t>Strom aus Stauwasserkraft</t>
  </si>
  <si>
    <t>Strom aus thermischer Abfallbehandlung</t>
  </si>
  <si>
    <t>Strommix (Deutschland)</t>
  </si>
  <si>
    <t>Strommix (EU)</t>
  </si>
  <si>
    <t>Strom aus Tiefengeothermie (Open Loop / Hydrothermal - Klassische Tiefengeothermie)</t>
  </si>
  <si>
    <t>Wärme aus thermischer Abfallbehandlung (Mittlere Temperatur ca. 80 °C)</t>
  </si>
  <si>
    <t>IPCC 2021 GWP 20a/100a with RFI V1.00 / GWP 20 IPCC 2021 and RFI, UVEK</t>
  </si>
  <si>
    <t>kg</t>
  </si>
  <si>
    <t>RFI aviation additonal effects of fuel</t>
  </si>
  <si>
    <t>GWP20 - fossil</t>
  </si>
  <si>
    <t>GWP20 - biogenic</t>
  </si>
  <si>
    <t>GWP20 - land transformation</t>
  </si>
  <si>
    <t>GWP100 - fossil</t>
  </si>
  <si>
    <t>GWP100 - biogenic</t>
  </si>
  <si>
    <t>GWP100 - land transformation</t>
  </si>
  <si>
    <t>Fuglestvedt, GWP 100a, stratosphere</t>
  </si>
  <si>
    <t>Lund, GWP 100a, stratosphere</t>
  </si>
  <si>
    <t>IPCC 2021 GWP 20a/100a with RFI V1.00 / GWP 100 IPCC 2021 and RFI, UVEK</t>
  </si>
  <si>
    <t>Einheit</t>
  </si>
  <si>
    <t>m3</t>
  </si>
  <si>
    <t>kWh</t>
  </si>
  <si>
    <t>Prozess</t>
  </si>
  <si>
    <t>CExD in MJ</t>
  </si>
  <si>
    <t>CED in MJ</t>
  </si>
  <si>
    <t>GWP 100 in kgCO2eq</t>
  </si>
  <si>
    <t>GWP 20 in kg CO2eq</t>
  </si>
  <si>
    <t>Blauer Wasserstoff (aus Erdgasdeformierung, nicht weiter spezifiziert)</t>
  </si>
  <si>
    <t>Wärme aus Solarthermie (Flachkollektoren, Produktionsmix, schräg)</t>
  </si>
  <si>
    <t>Wärme aus Solarthermie (Flachkollektoren, Produktionsmix, flach)</t>
  </si>
  <si>
    <t>Strom aus PV (Produktionsmix, schräg)</t>
  </si>
  <si>
    <t>Strom aus PV (Produktionsmix, flach)</t>
  </si>
  <si>
    <t>Wärme aus Solarthermie (Vakuumröhrenkollektoren, Produktionsmix)</t>
  </si>
  <si>
    <t>Wärme aus Grundwasserwärmepumpen (10 kW)</t>
  </si>
  <si>
    <t>Wärme aus Flusswärmepumpen (Großwärmepumpe 13 MW)</t>
  </si>
  <si>
    <t>Wärme aus Luftwärmepumpen (10 kW)</t>
  </si>
  <si>
    <t>Wärme aus Erdwärmepumpen (10kW)</t>
  </si>
  <si>
    <t>Name</t>
  </si>
  <si>
    <t>Unterscheidung flach/schräg; Keine Differenzierung zum Produktionsort der Module</t>
  </si>
  <si>
    <t>1 m3 natural gas, production NO, at long-distance pipeline/m3/DE U (of project ESU database 2022 UVEK)</t>
  </si>
  <si>
    <t>1 kWh electricity, low voltage, production ENTSO, at grid/kWh/ENTSO U (of project ESU database 2022 UVEK)</t>
  </si>
  <si>
    <t xml:space="preserve">Product 50: </t>
  </si>
  <si>
    <t>With factor = 0</t>
  </si>
  <si>
    <t>natural gas, production NO, at long-distance pipeline/m3/DE U</t>
  </si>
  <si>
    <t>Hydrogen, gaseous {GLO}| market for hydrogen, gaseous | Cut-off, U</t>
  </si>
  <si>
    <t>electricity, low voltage, production DE, at grid/kWh/DE U</t>
  </si>
  <si>
    <t>electricity, low voltage, production ENTSO, at grid/kWh/ENTSO U</t>
  </si>
  <si>
    <t>Blauer Wasserstoff (aus Erdölraffinerie, nicht weiter spezifiziert)</t>
  </si>
  <si>
    <t>Blauer Wasserstoff (aus Erdölraffinerie, nicht weiter spezifiziert) - alt</t>
  </si>
  <si>
    <t>Blauer Wasserstoff (aus Erdgasdeformierung, nicht weiter spezifiziert) - alt</t>
  </si>
  <si>
    <t>CExD raw substance in MJ/unit</t>
  </si>
  <si>
    <t>-</t>
  </si>
  <si>
    <t>Energy, gross calorific value, in biomass, 5.3128 MJ pro kg Maissilage; 6.405kgMaissilage/m3Biogas</t>
  </si>
  <si>
    <t>1 kg Hydrogen, gaseous {Europe without Switzerland}| hydrogen production, gaseous, petroleum refinery operation | Cut-off, U (of project Ecoinvent 3 - allocation, cut-off by classification - unit)</t>
  </si>
  <si>
    <t>1 kWh electricity, low voltage, at grid/kWh/DE U (of project ESU database 2022 UVEK)</t>
  </si>
  <si>
    <t>Hydrogen, gaseous {Europe without Switzerland}| hydrogen production, gaseous, petroleum refinery operation | Cut-off, U</t>
  </si>
  <si>
    <t>electricity, low voltage, at grid/kWh/DE U</t>
  </si>
  <si>
    <t>15.7-20.4</t>
  </si>
  <si>
    <t>9421-12456</t>
  </si>
  <si>
    <t>MJ/MJ</t>
  </si>
  <si>
    <t>RP-Energie-Lexikon</t>
  </si>
  <si>
    <t>ESU</t>
  </si>
  <si>
    <t>UBA</t>
  </si>
  <si>
    <t>GWP 20 in kg CO2eq/kWh</t>
  </si>
  <si>
    <t>GWP 100 in kgCO2eq/kWh</t>
  </si>
  <si>
    <t>CED in MJ/MJ</t>
  </si>
  <si>
    <t>ID</t>
  </si>
  <si>
    <t>Transposed values from ESU tables</t>
  </si>
  <si>
    <t>Total without water exergy plus water energy</t>
  </si>
  <si>
    <t>CExD fossil - CED fossil</t>
  </si>
  <si>
    <t>CExD nuclear - CED nuclear</t>
  </si>
  <si>
    <t>CExD biomass - CED biomass (re) - CED biomass (nre)</t>
  </si>
  <si>
    <t>MJ/kWh</t>
  </si>
  <si>
    <t>OK</t>
  </si>
  <si>
    <t>CED raw substance in MJ/unit</t>
  </si>
  <si>
    <t>Heizöl</t>
  </si>
  <si>
    <t>Schweröl</t>
  </si>
  <si>
    <t>Wasserstoff (grün)</t>
  </si>
  <si>
    <t>PV Strom</t>
  </si>
  <si>
    <t>Windstrom</t>
  </si>
  <si>
    <t>Solarthermie</t>
  </si>
  <si>
    <t>Wärme aus Tiefengeothermie</t>
  </si>
  <si>
    <t>Erdgas (LNG)</t>
  </si>
  <si>
    <t>CED_edit with non-storable energy set to 1</t>
  </si>
  <si>
    <t>CExD_edit without water exergy plus water energy and with non-storable exergy set to 1 in MJ</t>
  </si>
  <si>
    <t>Sheet</t>
  </si>
  <si>
    <t>CExD</t>
  </si>
  <si>
    <t>Original Data obtained by ESU from their Database</t>
  </si>
  <si>
    <t>CED</t>
  </si>
  <si>
    <t>GWP100</t>
  </si>
  <si>
    <t>GWP20</t>
  </si>
  <si>
    <t>CExD_edit</t>
  </si>
  <si>
    <t>Adapted CExD values to fit the boundary definition of REA. Also fixed an error in the consideration of water exergy as consumption, while it was only "transit" exergy.</t>
  </si>
  <si>
    <t>CED_edit</t>
  </si>
  <si>
    <t xml:space="preserve">Adapted CED values to fit the boundary definition of REA. Especially solarthermal energy was inconsistently balanced, as the losses of the conversion from solar to heat were taken into account, while at the same time losses form solar to power for PV were ignored. </t>
  </si>
  <si>
    <t xml:space="preserve">ESU Summary </t>
  </si>
  <si>
    <t>ESU Summary_edit</t>
  </si>
  <si>
    <t>Adapted ESU Summary table, that includes CExD_edit and CED_edit values</t>
  </si>
  <si>
    <t>No specification on oil sands</t>
  </si>
  <si>
    <t>No differentiation fracking/conventional</t>
  </si>
  <si>
    <t>Differentiation flat/slanted; No differentiation to the production location of the modules</t>
  </si>
  <si>
    <t>Explanation why possibly no better resolution</t>
  </si>
  <si>
    <t xml:space="preserve">Energie, Bruttoheizwert, in Biomasse, 5,3128 MJ pro kg Maissilage; 6,405kgMaissilage/m3Biogas
</t>
  </si>
  <si>
    <t>No differentiation flat/slanted</t>
  </si>
  <si>
    <t>No differentiation of different services</t>
  </si>
  <si>
    <t>Charged to garbage disposal, therefore zero.</t>
  </si>
  <si>
    <t>Only electricity from deep geothermal available</t>
  </si>
  <si>
    <t>New mean values</t>
  </si>
  <si>
    <t>HHV in MJ/unit from REA data table 2</t>
  </si>
  <si>
    <t>Source</t>
  </si>
  <si>
    <t>CO2 emissions with perfect combustion in CO2/kWh</t>
  </si>
  <si>
    <t xml:space="preserve">Source </t>
  </si>
  <si>
    <t>Heating oil (USA)</t>
  </si>
  <si>
    <t>Fuel oil (Saudi Arabia)</t>
  </si>
  <si>
    <t>Fuel oil (Russia)</t>
  </si>
  <si>
    <t>Fuel oil (from Canadian oil sands)</t>
  </si>
  <si>
    <t>Heavy oil</t>
  </si>
  <si>
    <t>Natural gas (pipeline from Europe (excluding Russia)</t>
  </si>
  <si>
    <t>Natural gas (pipeline from Russia)</t>
  </si>
  <si>
    <t>Natural gas (liquefied gas from USA, conventional production)</t>
  </si>
  <si>
    <t>Natural gas (liquefied gas from Qatar or similar)</t>
  </si>
  <si>
    <t>Hard coal (Russia)</t>
  </si>
  <si>
    <t>Hard coal (USA)</t>
  </si>
  <si>
    <t>Hard coal (Australia)</t>
  </si>
  <si>
    <t>Hard coal (Colombia)</t>
  </si>
  <si>
    <t>Hard coal (Indonesia)</t>
  </si>
  <si>
    <t>Lignite (Germany)</t>
  </si>
  <si>
    <t>Lignite (Poland)</t>
  </si>
  <si>
    <t>Lignite (USA)</t>
  </si>
  <si>
    <t>Lignite (China)</t>
  </si>
  <si>
    <t>Lignite (Russia)</t>
  </si>
  <si>
    <t>Biogas (manure and residues, directly from biogas plants)</t>
  </si>
  <si>
    <t>Biogas (corn and cultivated biomass, directly from biogas plants)</t>
  </si>
  <si>
    <t>Biomethane (liquid manure and residues)</t>
  </si>
  <si>
    <t>Biomethane (corn and cultivated biomass)</t>
  </si>
  <si>
    <t>Organic oil (rapeseed oil)</t>
  </si>
  <si>
    <t>Organic oil (palm oil)</t>
  </si>
  <si>
    <t>Wood - chips (cultivated biomass)</t>
  </si>
  <si>
    <t>Wood - chips (residual wood)</t>
  </si>
  <si>
    <t>Wood - chips (Canada, cultivated biomass)</t>
  </si>
  <si>
    <t>Wood - pellets (waste wood)</t>
  </si>
  <si>
    <t>Wood - pellets (cultivated biomass)</t>
  </si>
  <si>
    <t>Green hydrogen (from PV / wind power - for comparison)</t>
  </si>
  <si>
    <t>Blue hydrogen (from natural gas deformation, not further specified)</t>
  </si>
  <si>
    <t>Hydrogen from gas reforming</t>
  </si>
  <si>
    <t>Electricity from PV (production mix, flat)</t>
  </si>
  <si>
    <t>Electricity from PV (production mix, oblique)</t>
  </si>
  <si>
    <t>Electricity from wind power</t>
  </si>
  <si>
    <t>Electricity from run-of-river power</t>
  </si>
  <si>
    <t>Electricity from hydroelectric power</t>
  </si>
  <si>
    <t>Electricity from thermal waste treatment</t>
  </si>
  <si>
    <t>Electricity mix (Germany)</t>
  </si>
  <si>
    <t>Electricity mix (EU)</t>
  </si>
  <si>
    <t>Heat from solar thermal (flat-plate collectors, production mix, flat)</t>
  </si>
  <si>
    <t>Heat from solar thermal (flat plate collectors, production mix, oblique )</t>
  </si>
  <si>
    <t>Heat from solar thermal energy (evacuated tube collectors, production mix)</t>
  </si>
  <si>
    <t>Heat from ground source heat pumps (10kW)</t>
  </si>
  <si>
    <t>Heat from air heat pumps (10 kW)</t>
  </si>
  <si>
    <t>Heat from groundwater heat pumps (10 kW)</t>
  </si>
  <si>
    <t>Heat from river heat pumps (large heat pump 13 MW)</t>
  </si>
  <si>
    <t>Electricity from deep geothermal energy (open loop / hydrothermal - classic deep geothermal)</t>
  </si>
  <si>
    <t>Heat from thermal waste treatment (average temperature approx. 80 °C)</t>
  </si>
  <si>
    <t>Heat from deep geothermal energy (test calculation)</t>
  </si>
  <si>
    <t>Mean values</t>
  </si>
  <si>
    <t>Heating oil</t>
  </si>
  <si>
    <t>Natural gas (LNG)</t>
  </si>
  <si>
    <t>Hydrogen (green)</t>
  </si>
  <si>
    <t>Wind Power</t>
  </si>
  <si>
    <t>Solar thermal</t>
  </si>
  <si>
    <t>Heat from deep geothermal energy</t>
  </si>
  <si>
    <t>Explanations CExD raw substance</t>
  </si>
  <si>
    <t>convert to kg -&gt;</t>
  </si>
  <si>
    <t>Through manufacture</t>
  </si>
  <si>
    <t>Energy gross calorific value (MJ/kg); mix of different hard and soft woods</t>
  </si>
  <si>
    <t>Energy gross calorific value in MJ/m3 raw wood; 1300-2200kg wood chip /m3 raw wood (this value seems to be the trigger for the low CExD). Mix of different hardwoods and softwoods. Process comes from other background database</t>
  </si>
  <si>
    <t>Energy, gross calorific value, in biomass, 24.84 MJ per kg rape seed; 1.953kg_rape_seeds/kg_oil</t>
  </si>
  <si>
    <t>Energie, Brennwert, in Biomasse, 16,006 MJ per kg Palm fruit; 3,769kg Palm_fruit/kg_oil</t>
  </si>
  <si>
    <t>Original data request (translated)</t>
  </si>
  <si>
    <t>Originaldatenanfrage</t>
  </si>
  <si>
    <t>1 kg light fuel oil, production US, at regional storage/kg/RER U (of project 000 primary energy factors various projects)</t>
  </si>
  <si>
    <t>1 kg light fuel oil, production SA, at regional storage/kg/RER U (of project 000 primary energy factors various projects)</t>
  </si>
  <si>
    <t>1 kg light fuel oil, production RU, at regional storage/kg/RER U (of project 000 primary energy factors various projects)</t>
  </si>
  <si>
    <t>1 kg light fuel oil, production CA, at regional storage/kg/RER U (of project 000 primary energy factors various projects)</t>
  </si>
  <si>
    <t>1 kg Hard coal, production RU, at regional storage/DE U (of project 000 primary energy factors various projects)</t>
  </si>
  <si>
    <t>1 kg Hard coal, production US, at regional storage/DE U (of project 000 primary energy factors various projects)</t>
  </si>
  <si>
    <t>1 kg Hard coal, production AU, at regional storage/DE U (of project 000 primary energy factors various projects)</t>
  </si>
  <si>
    <t>1 kg Hard coal, production CO, at regional storage/DE U (of project 000 primary energy factors various projects)</t>
  </si>
  <si>
    <t>1 kg Hard coal, production IN, at regional storage/DE U (of project 000 primary energy factors various projects)</t>
  </si>
  <si>
    <t>1 kg lignite, production DE, at regional storage/DE U (of project 000 primary energy factors various projects)</t>
  </si>
  <si>
    <t>1 kg lignite, production PO, at regional storage/DE U (of project 000 primary energy factors various projects)</t>
  </si>
  <si>
    <t>1 kg lignite, production US, at regional storage/DE U (of project 000 primary energy factors various projects)</t>
  </si>
  <si>
    <t>1 kg lignite, production CN, at regional storage/DE U (of project 000 primary energy factors various projects)</t>
  </si>
  <si>
    <t>1 kg lignite, production RU, at regional storage/DE U (of project 000 primary energy factors various projects)</t>
  </si>
  <si>
    <t>1 m3 methane, 96 vol-%, from biogas, from maize silage, at purification/m3/RER U (of project 000 primary energy factors various projects)</t>
  </si>
  <si>
    <t>1 kg palm oil, at regional storage/CH U (of project 000 primary energy factors various projects)</t>
  </si>
  <si>
    <t>1 kg wood pellet, from wastewood, measured as dry mass, at plant/kg/RER (of project 000 primary energy factors various projects)</t>
  </si>
  <si>
    <t>1 kg Hydrogen, liquid, from water electrolysis, renewable electricity, at plant/DE U (of project 000 primary energy factors various projects)</t>
  </si>
  <si>
    <t>1 kWh electricity, photovoltaic mix flat-roof, at plant/CH U (of project 000 primary energy factors various projects)</t>
  </si>
  <si>
    <t>1 kWh electricity, photovoltaic mix slanted-roof, at plant/CH U (of project 000 primary energy factors various projects)</t>
  </si>
  <si>
    <t>1 MJ Heat, borehole heat exchanger, at brine-water heat pump 10kW/DE U (of project 000 primary energy factors various projects)</t>
  </si>
  <si>
    <t>1 MJ Heat, at air-water heat pump 10kW/DE U (of project 000 primary energy factors various projects)</t>
  </si>
  <si>
    <t>1 MJ heat, at groundwater heat pump, 10kW/MJ/DE U (of project 000 primary energy factors various projects)</t>
  </si>
  <si>
    <t>1 MJ heat, at water heat pump, 13MW/MJ/DE U (of project 000 primary energy factors various projects)</t>
  </si>
  <si>
    <t>Explanations</t>
  </si>
  <si>
    <t>Contained Values</t>
  </si>
  <si>
    <t>Value does not fulfil required balance (energy, exergy)</t>
  </si>
  <si>
    <t>Value deviates more than 50% from the CED reference values originally used in exergy pass online</t>
  </si>
  <si>
    <t>Resulting power emission in heat pumps (GWP100 CO2eq/kWh)</t>
  </si>
  <si>
    <t>COP o f heat pumps</t>
  </si>
  <si>
    <t>Process</t>
  </si>
  <si>
    <t>Process with unit</t>
  </si>
  <si>
    <t>Color code in general</t>
  </si>
  <si>
    <t>Original HHV values from literature for first calculation attempts</t>
  </si>
  <si>
    <t>Text or numbers</t>
  </si>
  <si>
    <t>Additional information not used for calculation</t>
  </si>
  <si>
    <t>Manually modified or commented cells</t>
  </si>
  <si>
    <t>Erdgas (Mix)</t>
  </si>
  <si>
    <t>Hard coal (mix)</t>
  </si>
  <si>
    <t>Lignite (mix)</t>
  </si>
  <si>
    <t>Natural gas (pipeline)</t>
  </si>
  <si>
    <t>Erdgas (Pipeline)</t>
  </si>
  <si>
    <t>Natural gas (mix)</t>
  </si>
  <si>
    <t>Steinkohle (Mix)</t>
  </si>
  <si>
    <t>Braunkohle (Mix)</t>
  </si>
  <si>
    <t>Biogas (Mix)</t>
  </si>
  <si>
    <t>Biogas (mix)</t>
  </si>
  <si>
    <t>Biomethan(Mix)</t>
  </si>
  <si>
    <t>Biomethane (mix)</t>
  </si>
  <si>
    <t>Bioöl (Mix)</t>
  </si>
  <si>
    <t>Bio oil (mix)</t>
  </si>
  <si>
    <t>Holz Hackschnitzel (Mix)</t>
  </si>
  <si>
    <t>Wood chips (mix)</t>
  </si>
  <si>
    <t>Holz Pellets (Mix)</t>
  </si>
  <si>
    <t>Wood pellets (mix)</t>
  </si>
  <si>
    <t>Holz (Mix)</t>
  </si>
  <si>
    <t>Wood (mix)</t>
  </si>
  <si>
    <t>CO2 estimated value in kg/kWh 
(reference value for quality control)</t>
  </si>
  <si>
    <t>CED estimated value in kWh/kWh 
(reference value for quality control)</t>
  </si>
  <si>
    <t>PV Power (mix)</t>
  </si>
  <si>
    <t>Electricity from hydropower (mix)</t>
  </si>
  <si>
    <t>Strom aus Wasserkraft (Mix)</t>
  </si>
  <si>
    <t>Strommix 
(EU 2022)</t>
  </si>
  <si>
    <t>Strommix 
(DE 2022)</t>
  </si>
  <si>
    <t>Electricity mix 
(DE 2022)</t>
  </si>
  <si>
    <t>Electricity mix 
(EU 2022)</t>
  </si>
  <si>
    <t>Efficient heat pump (groundwater or earth) with electricity mix (DE 2022)</t>
  </si>
  <si>
    <t>Effiziente Wärmepumpe (Grundwasser oder Erde) mit Strommix (DE 2022)</t>
  </si>
  <si>
    <t>Air heat pump with electricity mix (DE 2022)</t>
  </si>
  <si>
    <t>Luft-Wärmepumpe mit Strommix (DE 2022)</t>
  </si>
  <si>
    <t>Large heat pump with electricity mix (DE 2022)</t>
  </si>
  <si>
    <t>Großwärmepumpe mit Strommix (DE 2022)</t>
  </si>
  <si>
    <t>CExD in MJ/MJ 
(without Carnot factor for thermals sources (geothermal, solar thermal, waste heat)</t>
  </si>
  <si>
    <t>Text</t>
  </si>
  <si>
    <t>Line cannot be used due to discrepancies in the dataset</t>
  </si>
  <si>
    <t>Regional Storage is transported to EU.</t>
  </si>
  <si>
    <t>OK. Methane emissions are the reason for the differences here. Methane emissions are measured with satellites. Norway pays close attention to minimization.</t>
  </si>
  <si>
    <t>ESU Explanation why possibly no better resolution</t>
  </si>
  <si>
    <t>OK. US average gas. Less methane emissions, hence lower GWP20 value than pipeline gas.</t>
  </si>
  <si>
    <t>OK. Methane and other GHG emissions may be the cause here, and there may also be a different oil mix in the background.</t>
  </si>
  <si>
    <t xml:space="preserve">OK. Caused likely high methane emissions from pipelines. </t>
  </si>
  <si>
    <t>Ratio of GWP 20 / GWP 100</t>
  </si>
  <si>
    <t>CO2e GWP 100 emissions for heat pumps when using DEU electricity mix (data set ID 39)</t>
  </si>
  <si>
    <t>OK. Very low upstream chain emissions due to open pit mining.</t>
  </si>
  <si>
    <t>OK. Very low upstream chain emissions due to open pit mining and direct use in closeby power plant.</t>
  </si>
  <si>
    <t xml:space="preserve">Waste is set to 0. ESU values therefore for upstream chain only. Transport effort to DE is missing. </t>
  </si>
  <si>
    <t xml:space="preserve">Not transported. Life cycle emissions from wood and regrowth set to 0. This is likely only wood that regrows within a year in the harvest area. Transport effort to DE is missing. </t>
  </si>
  <si>
    <t xml:space="preserve">Only upstream chain. Carbon ends up in other products. It is also not clear whether the H2 comes from the oil. Special case. </t>
  </si>
  <si>
    <t>Adjustment of equation needed to not double count water energy in exergy.</t>
  </si>
  <si>
    <t>from manufacturing</t>
  </si>
  <si>
    <t>Manually edited by ESU</t>
  </si>
  <si>
    <t>Is consistent with 2nd biogas dataset.</t>
  </si>
  <si>
    <t>Biogas from residues. Conversion losses from solid biomass to biogas are ignored.</t>
  </si>
  <si>
    <t>Higher emissions in comparison to reference data due to better balancing, especially CH4 slip.</t>
  </si>
  <si>
    <t>Methane from waste biogas - values for upstream chain only. Conversion losses from solid biomass to biogas are ignored.</t>
  </si>
  <si>
    <t>Bio oil (palm oil)</t>
  </si>
  <si>
    <t>Bio oil (rapeseed oil)</t>
  </si>
  <si>
    <t>OK. Reduction of 30% compared to fossil oil is realistic. NO2 emissions also play a role here. Also land use is considered differently and very dominant in the result. Reference values are also not taken from Exergy pass online.</t>
  </si>
  <si>
    <t xml:space="preserve">Allocation result from APME industry data. Where applicable, no attention was paid to the energy balance. The data set is not transparent. </t>
  </si>
  <si>
    <t>OK. Since higher losses due to low voltage.</t>
  </si>
  <si>
    <t>OK. Since no higher losses due to low voltage.</t>
  </si>
  <si>
    <t>OK. Geothermal energy was mistakenly entered as kWh in the database and was manually corrected for.</t>
  </si>
  <si>
    <t>Only upchain values. REF values without Carnot factor.</t>
  </si>
  <si>
    <t xml:space="preserve">Only upchain values. REF values without Carnot factor. Values depends very much on the setting. The solar collectors are modeled as individual examples. The resulting values have more to do with the specific design and how the heat dissipation for hot water is. One would always have to model this for the individual case in LCA.  </t>
  </si>
  <si>
    <t>Without Carnot factor.</t>
  </si>
  <si>
    <t>Value only 10% or less over theoretical minimum (and thus suspiciously low)</t>
  </si>
  <si>
    <t>OK since reference values are for DE.</t>
  </si>
  <si>
    <t>OK since reference values are only GWP100.</t>
  </si>
  <si>
    <t>Deviation from CExD reference value</t>
  </si>
  <si>
    <t>Deviation from CED reference value</t>
  </si>
  <si>
    <t>Deviation from CO2e GWP100 reference value</t>
  </si>
  <si>
    <t>Deviation from CO2e GWP20 reference value</t>
  </si>
  <si>
    <t>Better power source than reference and higher efficiency of production.</t>
  </si>
  <si>
    <t>Reference is pipeline gas mainly.</t>
  </si>
  <si>
    <t>Emissions from fossil fuel input are much higher in LCA database.</t>
  </si>
  <si>
    <t>Emissions from fossil fuel input are much higher in LCA database. Biogenic emissions are also accounted for.</t>
  </si>
  <si>
    <t>Fossil emissions for wood are 20 x lower than for biogas production.</t>
  </si>
  <si>
    <t>Improved production processes.</t>
  </si>
  <si>
    <t>Very small reference value lead to high deviation sensitivity.</t>
  </si>
  <si>
    <t>Reference value is DE not EU.</t>
  </si>
  <si>
    <t>REF is not CExD. Carnot factor not considered.</t>
  </si>
  <si>
    <t xml:space="preserve">Explanation for large deviations in CED and GWP 100. </t>
  </si>
  <si>
    <t>Reference values from exergy pass online (version 10 / 2022 partially with 2014 values) and other sources</t>
  </si>
  <si>
    <t>More current value</t>
  </si>
  <si>
    <t>Better power mix.</t>
  </si>
  <si>
    <t>Better technology and low reference value.</t>
  </si>
  <si>
    <t>CED_edit in MJ per unit</t>
  </si>
  <si>
    <t>CExD_edit (without water) in MJ per unit</t>
  </si>
  <si>
    <t>Higher heating value</t>
  </si>
  <si>
    <t>Specific exergy (kWh/unit)</t>
  </si>
  <si>
    <t>https://esu-services.ch/</t>
  </si>
  <si>
    <t>Datensatzname (deutsch)</t>
  </si>
  <si>
    <t>Wärme aus tiefer Geothermie</t>
  </si>
  <si>
    <t>Heizöl (Kanada)</t>
  </si>
  <si>
    <t>REF in MJ/MJ 
(without Carnot factor for thermals sources (geothermal, solar thermal, waste heat)</t>
  </si>
  <si>
    <t>GHG emissions (GWP 100) in kg_CO2eq/kWh</t>
  </si>
  <si>
    <t>GHG emissions (GWP 20) in kg_CO2eq/kWh</t>
  </si>
  <si>
    <t>distribution network, electricity, low voltage/km/CH</t>
  </si>
  <si>
    <t>Cogen unit 6400kWth, wood burning, common components for heat+electricity/CH</t>
  </si>
  <si>
    <t>Cogen unit 6400kWth, wood burning, building/CH</t>
  </si>
  <si>
    <t>solar system, 81 m2 Cu flat plate collector, multiple dwelling, hot water/p/CH</t>
  </si>
  <si>
    <t>Building, hall, wood construction/CH</t>
  </si>
  <si>
    <t>p</t>
  </si>
  <si>
    <t>m2</t>
  </si>
  <si>
    <t>Building, hall, steel construction/CH</t>
  </si>
  <si>
    <t>Geothermal power plant, 5.5MWel {GLO}| market for | Cut-off, U</t>
  </si>
  <si>
    <t>Mwel</t>
  </si>
  <si>
    <t>Natural gas, burned in boiler modulating &lt;100kW/RER U</t>
  </si>
  <si>
    <t>Gas boiler/RER/I U</t>
  </si>
  <si>
    <t>kW</t>
  </si>
  <si>
    <t>MW</t>
  </si>
  <si>
    <t>km</t>
  </si>
  <si>
    <t>kWp</t>
  </si>
  <si>
    <t>Natural gas, burned in industrial furnace &gt;100kW/RER U</t>
  </si>
  <si>
    <t>Industrial furnace, natural gas/RER/I U</t>
  </si>
  <si>
    <t>Heat, at air-water heat pump 10kW/RER U</t>
  </si>
  <si>
    <t>Heat pump, brine-water, 10kW/CH/I U</t>
  </si>
  <si>
    <t>Borehole heat exchanger 150 m/CH/I U</t>
  </si>
  <si>
    <t>m</t>
  </si>
  <si>
    <t>heat, at water heat pump, 13MW/MJ/DE</t>
  </si>
  <si>
    <t>heat pump, brine-water, 10MW/p/ZH/I U</t>
  </si>
  <si>
    <t>Natural gas, burned in cogen 1MWe lean burn/RER U</t>
  </si>
  <si>
    <t>Cogen unit 1MWe, common components for heat+electricity/RER/I U</t>
  </si>
  <si>
    <t>Cogen unit 1MWe, components for electricity only/RER/I U</t>
  </si>
  <si>
    <t>Cogen unit 1MWe, components for heat only/RER/I U</t>
  </si>
  <si>
    <t>Mwe</t>
  </si>
  <si>
    <t>Lignite, burned in power plant/DE U</t>
  </si>
  <si>
    <t>Lignite power plant/RER/I U</t>
  </si>
  <si>
    <t>Hard coal power plant/RER/I U</t>
  </si>
  <si>
    <t>Hard coal, burned in power plant/DE U</t>
  </si>
  <si>
    <t>Wood chips, burned in cogen 6400kWth/CH U</t>
  </si>
  <si>
    <t>Cogen unit 6400kWth, wood burning, components for electricity only/CH/I U</t>
  </si>
  <si>
    <t>kWth</t>
  </si>
  <si>
    <t>Electricity, nuclear, at power plant boiling water reactor/DE U</t>
  </si>
  <si>
    <t>Nuclear power plant, boiling water reactor 1000MW/DE/I U</t>
  </si>
  <si>
    <t>Nuclear power plant, pressure water reactor 1000MW/DE/I U</t>
  </si>
  <si>
    <t>Electricity, nuclear, at power plant pressure water reactor/DE U</t>
  </si>
  <si>
    <t>district heat, from natural gas, at industrial furnace &gt;100kW/MJ/CH U</t>
  </si>
  <si>
    <t>transport, district heat, large area network, for warm water/CH/I S</t>
  </si>
  <si>
    <t>transport, district heat, small area network, new/CH/I U</t>
  </si>
  <si>
    <t>electricity, PV, at 3kWp slanted-roof, single-Si, panel, mounted/kWh/CH U</t>
  </si>
  <si>
    <t>3kWp slanted-roof installation, single-Si, panel, mounted, on roof/p/CH/I U</t>
  </si>
  <si>
    <t>electricity, PV, at 560 kWp open ground, single-Si/kWh/CH U</t>
  </si>
  <si>
    <t>560 kWp open ground installation, single-Si, on open ground/p/CH/I U</t>
  </si>
  <si>
    <t>heat, at 81 m2 Cu collector, multiple dwelling, for hot water/CH U</t>
  </si>
  <si>
    <t>Electricity, at wind power plant 2MW, offshore/OCE U</t>
  </si>
  <si>
    <t>Wind power plant 2MW, offshore, moving parts/OCE/I U</t>
  </si>
  <si>
    <t>Wind power plant 2MW, offshore, fixed parts/OCE/I U</t>
  </si>
  <si>
    <t>electricity, at wind power plant 800kW/kWh/RER</t>
  </si>
  <si>
    <t>Wind power plant 800kW, moving parts/RER/I U</t>
  </si>
  <si>
    <t>Wind power plant 800kW, fixed parts/RER/I U</t>
  </si>
  <si>
    <t>electricity, hydropower, at reservoir power plant, non alpine regions/kWh/RER</t>
  </si>
  <si>
    <t>reservoir hydropower plant, non alpine regions/p/RER/I U</t>
  </si>
  <si>
    <t>run-of-river hydropower plant/p/RER/I</t>
  </si>
  <si>
    <t>electricity, hydropower, at run-of-river power plant without reservoir/kWh/RER U</t>
  </si>
  <si>
    <t>Building, multi-storey/RER</t>
  </si>
  <si>
    <t>1 p Gas boiler/RER/I U (of project ESU database 2023 (UVEK18))</t>
  </si>
  <si>
    <t>1 p Heat pump, brine-water, 10kW/CH/I U (of project ESU database 2023 (UVEK18))</t>
  </si>
  <si>
    <t>1 p Borehole heat exchanger 150 m/CH/I U (of project ESU database 2023 (UVEK18))</t>
  </si>
  <si>
    <t>1 p heat pump, brine-water, 10MW/p/ZH/I U (of project 000 Primärenergiefaktoren verschiedene Projekte)</t>
  </si>
  <si>
    <t>1 km distribution network, electricity, low voltage/km/CH/I U (of project ESU database 2023 (UVEK18))</t>
  </si>
  <si>
    <t>1 p Industrial furnace, natural gas/RER/I U (of project ESU database 2023 (UVEK18))</t>
  </si>
  <si>
    <t>1 p Cogen unit 1MWe, common components for heat+electricity/RER/I U (of project ESU database 2023 (UVEK18))</t>
  </si>
  <si>
    <t>1 p Cogen unit 1MWe, components for electricity only/RER/I U (of project ESU database 2023 (UVEK18))</t>
  </si>
  <si>
    <t>1 p Cogen unit 1MWe, components for heat only/RER/I U (of project ESU database 2023 (UVEK18))</t>
  </si>
  <si>
    <t>1 p Hard coal power plant/RER/I U (of project ESU database 2023 (UVEK18))</t>
  </si>
  <si>
    <t>1 p Lignite power plant/RER/I U (of project ESU database 2023 (UVEK18))</t>
  </si>
  <si>
    <t>1 p Cogen unit 6400kWth, wood burning, common components for heat+electricity/CH/I U (of project ESU database 2023 (UVEK18))</t>
  </si>
  <si>
    <t>1 p Cogen unit 6400kWth, wood burning, components for electricity only/CH/I U (of project ESU database 2023 (UVEK18))</t>
  </si>
  <si>
    <t>1 p Cogen unit 6400kWth, wood burning, building/CH/I U (of project ESU database 2023 (UVEK18))</t>
  </si>
  <si>
    <t>1 p Nuclear power plant, boiling water reactor 1000MW/DE/I U (of project ESU database 2023 (UVEK18))</t>
  </si>
  <si>
    <t>1 p Nuclear power plant, pressure water reactor 1000MW/DE/I U (of project ESU database 2023 (UVEK18))</t>
  </si>
  <si>
    <t>1 MJ transport, district heat, large area network, for warm water/CH/I S (of project ESU food database 2022)</t>
  </si>
  <si>
    <t>1 MJ transport, district heat, small area network, new/CH/I U (of project 000 Primärenergiefaktoren verschiedene Projekte)</t>
  </si>
  <si>
    <t>1 p 3kWp slanted-roof installation, single-Si, panel, mounted, on roof/p/CH/I U (of project ESU database 2023 (UVEK18))</t>
  </si>
  <si>
    <t>1 p 560 kWp open ground installation, single-Si, on open ground/p/CH/I U (of project ESU database 2023 (UVEK18))</t>
  </si>
  <si>
    <t>1 p solar system, 81 m2 Cu flat plate collector, multiple dwelling, hot water/CH/I U (of project ESU database 2023 (UVEK18))</t>
  </si>
  <si>
    <t>1 p Wind power plant 2MW, offshore, moving parts/OCE/I U (of project ESU database 2023 (UVEK18))</t>
  </si>
  <si>
    <t>1 p Wind power plant 2MW, offshore, fixed parts/OCE/I U (of project ESU database 2023 (UVEK18))</t>
  </si>
  <si>
    <t>1 p Wind power plant 800kW, moving parts/RER/I U (of project ESU database 2023 (UVEK18))</t>
  </si>
  <si>
    <t>1 p Wind power plant 800kW, fixed parts/RER/I U (of project ESU database 2023 (UVEK18))</t>
  </si>
  <si>
    <t>1 p reservoir hydropower plant, non alpine regions/p/RER/I U (of project ESU database 2023 (UVEK18))</t>
  </si>
  <si>
    <t>1 p run-of-river hydropower plant/p/RER/I U (of project ESU database 2023 (UVEK18))</t>
  </si>
  <si>
    <t>1 p Geothermal power plant, 5.5MWel {GLO}| market for | Cut-off, U (of project Ecoinvent 3 - allocation, cut-off by classification - unit)</t>
  </si>
  <si>
    <t>1 m2 Building, hall, wood construction/CH/I U (of project ESU database 2023 (UVEK18))</t>
  </si>
  <si>
    <t>1 m2 Building, hall, steel construction/CH/I U (of project ESU database 2023 (UVEK18))</t>
  </si>
  <si>
    <t>1 m3 Building, multi-storey/RER/I U (of project ESU database 2023 (UVEK18))</t>
  </si>
  <si>
    <t>distribution network, electricity, low voltage/km/CH/I U</t>
  </si>
  <si>
    <t>Cogen unit 6400kWth, wood burning, common components for heat+electricity/CH/I U</t>
  </si>
  <si>
    <t>Cogen unit 6400kWth, wood burning, building/CH/I U</t>
  </si>
  <si>
    <t>solar system, 81 m2 Cu flat plate collector, multiple dwelling, hot water/CH/I U</t>
  </si>
  <si>
    <t>run-of-river hydropower plant/p/RER/I U</t>
  </si>
  <si>
    <t>Building, hall, wood construction/CH/I U</t>
  </si>
  <si>
    <t>Building, hall, steel construction/CH/I U</t>
  </si>
  <si>
    <t>Building, multi-storey/RER/I U</t>
  </si>
  <si>
    <t>Fuel elements BWR, UO2 4.0% &amp; MOX, at nuclear fuel fabrication plant/DE U</t>
  </si>
  <si>
    <t>1 kg light fuel oil, production US, at regional storage/kg/RER U (of project 000 Primärenergiefaktoren verschiedene Projekte)</t>
  </si>
  <si>
    <t>1 kg light fuel oil, production SA, at regional storage/kg/RER U (of project 000 Primärenergiefaktoren verschiedene Projekte)</t>
  </si>
  <si>
    <t>1 kg light fuel oil, production RU, at regional storage/kg/RER U (of project 000 Primärenergiefaktoren verschiedene Projekte)</t>
  </si>
  <si>
    <t>1 kg light fuel oil, production CA, at regional storage/kg/RER U (of project 000 Primärenergiefaktoren verschiedene Projekte)</t>
  </si>
  <si>
    <t>1 kg heavy fuel oil, at regional storage/kg/RER U (of project ESU database 2023 (UVEK18))</t>
  </si>
  <si>
    <t>1 m3 natural gas, production NO, at long-distance pipeline/m3/DE U (of project ESU database 2023 (UVEK18))</t>
  </si>
  <si>
    <t>1 m3 natural gas, production RU, at long-distance pipeline/m3/DE U (of project ESU database 2023 (UVEK18))</t>
  </si>
  <si>
    <t>1 m3 natural gas, liquefied, production US, at harbour/RER U (of project ESU database 2023 (UVEK18))</t>
  </si>
  <si>
    <t>1 m3 natural gas, liquefied, production QA, at harbour/RER U (of project ESU database 2023 (UVEK18))</t>
  </si>
  <si>
    <t>1 kg Hard coal, production RU, at regional storage/DE U (of project 000 Primärenergiefaktoren verschiedene Projekte)</t>
  </si>
  <si>
    <t>1 kg Hard coal, production US, at regional storage/DE U (of project 000 Primärenergiefaktoren verschiedene Projekte)</t>
  </si>
  <si>
    <t>1 kg Hard coal, production AU, at regional storage/DE U (of project 000 Primärenergiefaktoren verschiedene Projekte)</t>
  </si>
  <si>
    <t>1 kg Hard coal, production CO, at regional storage/DE U (of project 000 Primärenergiefaktoren verschiedene Projekte)</t>
  </si>
  <si>
    <t>1 kg Hard coal, production IN, at regional storage/DE U (of project 000 Primärenergiefaktoren verschiedene Projekte)</t>
  </si>
  <si>
    <t>1 kg lignite, production DE, at regional storage/DE U (of project 000 Primärenergiefaktoren verschiedene Projekte)</t>
  </si>
  <si>
    <t>1 kg lignite, production PO, at regional storage/DE U (of project 000 Primärenergiefaktoren verschiedene Projekte)</t>
  </si>
  <si>
    <t>1 kg lignite, production US, at regional storage/DE U (of project 000 Primärenergiefaktoren verschiedene Projekte)</t>
  </si>
  <si>
    <t>1 kg lignite, production CN, at regional storage/DE U (of project 000 Primärenergiefaktoren verschiedene Projekte)</t>
  </si>
  <si>
    <t>1 kg lignite, production RU, at regional storage/DE U (of project 000 Primärenergiefaktoren verschiedene Projekte)</t>
  </si>
  <si>
    <t>1 m3 biogas, production mix, at storage/m3/CH U (of project ESU database 2023 (UVEK18))</t>
  </si>
  <si>
    <t>1 m3 biogas, from maize silage, co-digestion, at storage/m3/CH U (of project ESU database 2023 (UVEK18))</t>
  </si>
  <si>
    <t>1 m3 methane, 96 vol-%, from biogas, at purification/m3/CH U (of project ESU database 2023 (UVEK18))</t>
  </si>
  <si>
    <t>1 m3 methane, 96 vol-%, from biogas, from maize silage, at purification/m3/RER U (of project 000 Primärenergiefaktoren verschiedene Projekte)</t>
  </si>
  <si>
    <t>1 kg Rape oil, at regional storage/CH U (of project ESU database 2023 (UVEK18))</t>
  </si>
  <si>
    <t>1 kg palm oil, at regional storage/CH U (of project 000 Primärenergiefaktoren verschiedene Projekte)</t>
  </si>
  <si>
    <t>1 kg wood chips, production mix, wet, measured as dry mass, at forest road &amp; at sawmill/kg/RER (of project ESU database 2023 (UVEK18))</t>
  </si>
  <si>
    <t>1 m3 Waste wood chips, mixed, from industry, u=40%, at plant/CH U (of project ESU database 2023 (UVEK18))</t>
  </si>
  <si>
    <t>1 kg wood pellet, from wastewood, measured as dry mass, at plant/kg/RER (of project 000 Primärenergiefaktoren verschiedene Projekte)</t>
  </si>
  <si>
    <t>1 kg wood pellet, measured as dry mass, at plant/kg/RER (of project ESU database 2023 (UVEK18))</t>
  </si>
  <si>
    <t>1 kg Hydrogen, liquid, from water electrolysis, renewable electricity, at plant/DE U (of project 000 Primärenergiefaktoren verschiedene Projekte)</t>
  </si>
  <si>
    <t>1 kg Hydrogen, cracking, APME, at plant/RER U (of project ESU database 2023 (UVEK18))</t>
  </si>
  <si>
    <t>1 kWh electricity, photovoltaic mix flat-roof, at plant/CH U (of project 000 Primärenergiefaktoren verschiedene Projekte)</t>
  </si>
  <si>
    <t>1 kWh electricity, photovoltaic mix slanted-roof, at plant/CH U (of project 000 Primärenergiefaktoren verschiedene Projekte)</t>
  </si>
  <si>
    <t>1 kWh Electricity, at wind power plant/RER U (of project ESU database 2023 (UVEK18))</t>
  </si>
  <si>
    <t>1 kWh electricity, hydropower, at run-of-river power plant/kWh/RER U (of project ESU database 2023 (UVEK18))</t>
  </si>
  <si>
    <t>1 kWh electricity, hydropower, at reservoir power plant, non alpine regions/kWh/RER U (of project ESU database 2023 (UVEK18))</t>
  </si>
  <si>
    <t>1 kWh Electricity from waste, at municipal waste incineration plant/CH U (of project ESU database 2023 (UVEK18))</t>
  </si>
  <si>
    <t>1 kWh electricity, low voltage, at grid/kWh/DE U (of project ESU database 2023 (UVEK18))</t>
  </si>
  <si>
    <t>1 kWh electricity, low voltage, production ENTSO, at grid/kWh/ENTSO U (of project ESU database 2023 (UVEK18))</t>
  </si>
  <si>
    <t>1 MJ heat, at 30 m2 Cu collector, multiple dwelling, flat roof, for hot water/CH U (of project ESU database 2023 (UVEK18))</t>
  </si>
  <si>
    <t>1 MJ heat, at 30 m2 Cu collector, multiple dwelling, slanted roof, for hot water/CH U (of project ESU database 2023 (UVEK18))</t>
  </si>
  <si>
    <t>1 MJ heat, at 10.5 m2 evacuated tube collector, heat pipe, one-family house, for combined system/CH U (of project ESU database 2023 (UVEK18))</t>
  </si>
  <si>
    <t>1 MJ Heat, borehole heat exchanger, at brine-water heat pump 10kW/DE U (of project 000 Primärenergiefaktoren verschiedene Projekte)</t>
  </si>
  <si>
    <t>1 MJ Heat, at air-water heat pump 10kW/DE U (of project 000 Primärenergiefaktoren verschiedene Projekte)</t>
  </si>
  <si>
    <t>1 MJ heat, at groundwater heat pump, 10kW/MJ/DE U (of project 000 Primärenergiefaktoren verschiedene Projekte)</t>
  </si>
  <si>
    <t>1 MJ heat, at water heat pump, 13MW/MJ/DE U (of project 000 Primärenergiefaktoren verschiedene Projekte)</t>
  </si>
  <si>
    <t>1 MJ Heat from waste, at municipal waste incineration plant/CH U (of project ESU database 2023 (UVEK18))</t>
  </si>
  <si>
    <t xml:space="preserve">Product 51: </t>
  </si>
  <si>
    <t>1 kg Fuel elements BWR, UO2 4.0% &amp; MOX, at nuclear fuel fabrication plant/DE U (of project ESU database 2023 (UVEK18))</t>
  </si>
  <si>
    <t xml:space="preserve">Product 52: </t>
  </si>
  <si>
    <t>1 kg Fuel elements PWR, UO2 4.0% &amp; MOX, at nuclear fuel fabrication plant/DE U (of project ESU database 2023 (UVEK18))</t>
  </si>
  <si>
    <t>Fuel elements PWR, UO2 4.0% &amp; MOX, at nuclear fuel fabrication plant/DE U</t>
  </si>
  <si>
    <t>Brennelement SWR, UO2 4.0% &amp; MOX, ab Brennelementfabrik</t>
  </si>
  <si>
    <t>Fuel elements BWR, UO2 4.0% &amp; MOX, at nuclear fuel fabrication plant</t>
  </si>
  <si>
    <t>Fuel elements PWR, UO2 4.0% &amp; MOX, at nuclear fuel fabrication plant</t>
  </si>
  <si>
    <t>Brennelement DWR, UO2 4.0% &amp; MOX, ab Brennelementfabrik</t>
  </si>
  <si>
    <t>8.37 kg Uranerz pro kg Brennelement; 560000 MJ/kg Uranerz; Zusätzliche Info aus Datensatz zu Nuklearenergie: 0.00000263 kg Brennelement für 1 kWh ab Kraftwerk</t>
  </si>
  <si>
    <t>7.9 kg Uranerz pro kg Brennelement; 560000 MJ/kg Uranerz; Zusätzliche Info aus Datensatz zu Nuklearenergie: 0.00000253 kg Brennelement für 1kWh Elektrizität ab Kraftwerk</t>
  </si>
  <si>
    <t>Difference to new dataset
(change in new data as percentage of older)</t>
  </si>
  <si>
    <t>Uran Brennelement (frei Fabrik)</t>
  </si>
  <si>
    <t>Uranium fuel element</t>
  </si>
  <si>
    <t>Full load hours (h/a)</t>
  </si>
  <si>
    <t>Lifetime (a)</t>
  </si>
  <si>
    <t>Lifetime production (kWh)</t>
  </si>
  <si>
    <t>Power (kW)</t>
  </si>
  <si>
    <t>Lifetimeproduction (MJ)</t>
  </si>
  <si>
    <t>kWh/Monat</t>
  </si>
  <si>
    <t>h/Monat</t>
  </si>
  <si>
    <t xml:space="preserve">kW </t>
  </si>
  <si>
    <t>https://www.swissgrid.ch/de/home/operation/power-grid/grid-levels.html</t>
  </si>
  <si>
    <t>https://www.swissgrid.ch/de/home/operation/grid-data/generation.html</t>
  </si>
  <si>
    <t>kW/km</t>
  </si>
  <si>
    <t>Unit of energy carrier or generated energy</t>
  </si>
  <si>
    <t>Infrastructure unit</t>
  </si>
  <si>
    <t>Infrastructure size/power</t>
  </si>
  <si>
    <t>Unit infrastructure size</t>
  </si>
  <si>
    <t>More info</t>
  </si>
  <si>
    <t>CExD [MJ/unit]</t>
  </si>
  <si>
    <t>CED [MJ/unit]</t>
  </si>
  <si>
    <t>GWP 20a [kgCO2-eq/unit]</t>
  </si>
  <si>
    <t>GWP 100a [kgCO2-eq/unit]</t>
  </si>
  <si>
    <t>Lifetime 20 years</t>
  </si>
  <si>
    <t xml:space="preserve">Based on data from the Swiss low-voltage power grid </t>
  </si>
  <si>
    <t>based on 150'000 operating hours per lifetime</t>
  </si>
  <si>
    <t>based on 200'000 operating hours per lifetime</t>
  </si>
  <si>
    <t>Lifetime: 20 years. Heat production 2030 h/a, electricity production 3500 h/a.</t>
  </si>
  <si>
    <t>Lifetime: 20 years. Heat production 2030 h/a, electricity production 3500 h/a</t>
  </si>
  <si>
    <t>Lifetime 40 years</t>
  </si>
  <si>
    <t>Lifetime 30 years</t>
  </si>
  <si>
    <t>Lifetime 25 years, 141 metre tube length, 4200 litre heat storage tank</t>
  </si>
  <si>
    <t>Lifetime 20 years, annual electricity production 5.6GWh</t>
  </si>
  <si>
    <t>Lifetime 20 years, annual electricity production 1.4GWh</t>
  </si>
  <si>
    <t>Lifetime 40 years, annual electricity production 1.4GWh</t>
  </si>
  <si>
    <t>Service life of dam 150 years, remainder 80 years</t>
  </si>
  <si>
    <t>Service life of dam 80 years, rest 40 years</t>
  </si>
  <si>
    <t>Length 50 m, width 30 m, height 7 m, daylight opening 110 m2. The service life is assumed to be 50 years</t>
  </si>
  <si>
    <t>Life span 80 years, based on a kind of average of two existing multi-storey buildings, built in 1927 and 1972.</t>
  </si>
  <si>
    <t>Name process power  / heat generation</t>
  </si>
  <si>
    <t>Name process Infrastructure</t>
  </si>
  <si>
    <t>Percentage in relation to CExD of 1,0</t>
  </si>
  <si>
    <t>Percentage in relation to CED = 1,0</t>
  </si>
  <si>
    <t>Ancillary calculation electricity grid per kW (Switzerland / rough estimate)</t>
  </si>
  <si>
    <t>Simultaneity</t>
  </si>
  <si>
    <t>Mains length</t>
  </si>
  <si>
    <t>Power per network km</t>
  </si>
  <si>
    <t>Assumptions</t>
  </si>
  <si>
    <t>Results of estimation of infrastructre effects per unit of energy carrier</t>
  </si>
  <si>
    <t>CExD [MJ/MJ_produced]</t>
  </si>
  <si>
    <t>CED [MJ/MJ_produced]</t>
  </si>
  <si>
    <t>GWP 100a [kgCO2-eq/MJ_produced]</t>
  </si>
  <si>
    <t>GWP 20a [kgCO2-eq/MJ_produced]</t>
  </si>
  <si>
    <t>Original ESU Data from LCA Database</t>
  </si>
  <si>
    <t>Estimation of degree of magnitude of influence of infrastructure on REA indicators by Richtvert</t>
  </si>
  <si>
    <t xml:space="preserve">This table provides an overview over infrastructure indicators. It is used to assess whether infrastructure needs to be considered in REA to get reasonably accurate results. The equations are transparent, but only meant to provide a check for an order of magnitude and not an accurate analysis. </t>
  </si>
  <si>
    <t>Common m2 per building (only where relevant)</t>
  </si>
  <si>
    <t>Percentage in relation to GWP20 of natural gas combustion (0,55 kg_CO2eq/MJ)</t>
  </si>
  <si>
    <t>Percentage in relation to GWP100 of natural gas combustion (0,55 kg_CO2eq/MJ)</t>
  </si>
  <si>
    <t>Data summary</t>
  </si>
  <si>
    <t>An overview of factors for resource exergy analysis as used in the guideline</t>
  </si>
  <si>
    <t>Original ESU table for infrastructure values</t>
  </si>
  <si>
    <t>Infrastructure - CExD</t>
  </si>
  <si>
    <t>Infrastructure - CExD_edit</t>
  </si>
  <si>
    <t>Adapted CExD values for REA. Water exergy has been replaced with water energy, as it is transit exergy</t>
  </si>
  <si>
    <t>Infrastructure - CED</t>
  </si>
  <si>
    <t>Infrastructure - GWP20</t>
  </si>
  <si>
    <t>Infrastructure - GWP100</t>
  </si>
  <si>
    <t>Infrastructure - summary</t>
  </si>
  <si>
    <t>Summary table that combines Values from CExD_edit and ESU tables for CED, GWP20 and GWP100. Additionally it estimates an order of magnitude for the impact of infrastructure on the operational indicators.</t>
  </si>
  <si>
    <t xml:space="preserve">Explicitly calculated values. Not all calculated values are marked. </t>
  </si>
  <si>
    <t>Uranium fuel</t>
  </si>
  <si>
    <t>8.37 kg uranium ore per kg fuel element; 560000 MJ/kg uranium ore; From nuclear energy data set: 0.00000263 kg for 1 kWh ex power plant</t>
  </si>
  <si>
    <t>7.9 kg uranium ore per kg fuel element; 560000 MJ/kg uranium ore; From nuclear energy data set: 0.00000253 kg for 1kWh electricity ex power plant</t>
  </si>
  <si>
    <t>Energy, gross calorific value, in biomass, 5.3128 MJ per kg maize silage; 6.405kgmaize silage/m3biogas</t>
  </si>
  <si>
    <t>Energy, gross calorific value, in biomass, 24.84 MJ per kg rapeseed; 1.953kgrapeseed/kgoil</t>
  </si>
  <si>
    <t>Energy, gross calorific value, in biomass, 16.006 MJ per kg palm fruit; 3.769kgpalm fruit/kgoil</t>
  </si>
  <si>
    <t>Energy gross calorific value in MJ/m3 raw wood; 1300-2200kg wood chip /m3 raw wood (this value seems to be the trigger for the low CExD). Mix of different hardwoods and softwoods. Process taken from other background database</t>
  </si>
  <si>
    <t>Energy gross calorific value (MJ/kg); mix of different hardwoods and softwoods.</t>
  </si>
  <si>
    <t>Differentiation flat/sloping; No differentiation to the production location of the modules</t>
  </si>
  <si>
    <t>Differentiation flat/sloping; No differentiation to the production location of the modules.</t>
  </si>
  <si>
    <t>At the expense of waste disposal, therefore zero.</t>
  </si>
  <si>
    <t>Differentiation flat/sloping; no differentiation with regard to the production location of the modules.</t>
  </si>
  <si>
    <t>No differentiation flat/sloping</t>
  </si>
  <si>
    <t>Apportioned to waste disposal, therefore zero.</t>
  </si>
  <si>
    <t>Name (German)</t>
  </si>
  <si>
    <t>rape oil, at regional storage/CH U</t>
  </si>
  <si>
    <t>waste wood chips, mixed, from industry, u=40%, at plant/CH U</t>
  </si>
  <si>
    <t>wood chips, wet, measured as dry mass {CA-QC}| market for wood chips, wet, measured as dry mass | Cut-off, U</t>
  </si>
  <si>
    <t>hydrogen, gaseous {GLO}| market for hydrogen, gaseous | Cut-off, U</t>
  </si>
  <si>
    <t>hydrogen, cracking, APME, at plant/RER U</t>
  </si>
  <si>
    <t>hydrogen, liquid, from water electrolysis, renewable electricity, at plant/DE U</t>
  </si>
  <si>
    <t>electricity from waste, at municipal waste incineration plant/CH U</t>
  </si>
  <si>
    <t>electricity, at wind power plant/RER U</t>
  </si>
  <si>
    <t>heat, borehole heat exchanger, at brine-water heat pump 10kW/DE U</t>
  </si>
  <si>
    <t>heat, at air-water heat pump 10kW/DE U</t>
  </si>
  <si>
    <t>electricity, high voltage {DE}| electricity production, deep geothermal | Cut-off, U</t>
  </si>
  <si>
    <t>heat from waste, at municipal waste incineration plant/CH U</t>
  </si>
  <si>
    <t>fuel elements BWR, UO2 4.0% &amp; MOX, at nuclear fuel fabrication plant</t>
  </si>
  <si>
    <t>fuel elements PWR, UO2 4.0% &amp; MOX, at nuclear fuel fabrication plant</t>
  </si>
  <si>
    <t>Energy of waste heat / waste / environmental heat in MJ/MJ_ delivered</t>
  </si>
  <si>
    <t>Not usable</t>
  </si>
  <si>
    <t>Final check</t>
  </si>
  <si>
    <t>Mittelwerte (deutsch)</t>
  </si>
  <si>
    <t>Evaluation of LCA Data vs. reference data</t>
  </si>
  <si>
    <t>Different calculation.</t>
  </si>
  <si>
    <t xml:space="preserve">Ok. High unmitigated methane emissions from mine. </t>
  </si>
  <si>
    <t>Uran Brennelement (Siedewasserreaktor)</t>
  </si>
  <si>
    <t>Uran Brennelement (Leichtwasserreaktor)</t>
  </si>
  <si>
    <t>kWh_power/kg</t>
  </si>
  <si>
    <t>MJ_power/kg</t>
  </si>
  <si>
    <t>MJ_heat/kg</t>
  </si>
  <si>
    <t>https://world-nuclear.org/information-library/facts-and-figures/heat-values-of-various-fuels.aspx</t>
  </si>
  <si>
    <t>Reference value for comparison</t>
  </si>
  <si>
    <t>Deviation from reference value</t>
  </si>
  <si>
    <t>Side calculations</t>
  </si>
  <si>
    <t>Estimating Nuclear heat energy for uranium fuel elements</t>
  </si>
  <si>
    <t>Specific electricty production per kg fuel (ESU value)</t>
  </si>
  <si>
    <t>kg_fuel/kWh_electrictricity</t>
  </si>
  <si>
    <t>Electrical efficiency*</t>
  </si>
  <si>
    <t>* The value above was used to estimate the efficiency of the power plants, by iteration. No efficiency values for nuclear power plants are given in LCA databases.</t>
  </si>
  <si>
    <t>Source / Unit 
(in case original unit is energy)</t>
  </si>
  <si>
    <t>Not usable - energy balance not fulfilled</t>
  </si>
  <si>
    <t>x</t>
  </si>
  <si>
    <t>Color code for assessment</t>
  </si>
  <si>
    <t>AGFW</t>
  </si>
  <si>
    <t>www.agfw.de</t>
  </si>
  <si>
    <t>convert to kg --&gt; (188 MJ / m3 is already considered in the heating values in the  Assessment table)</t>
  </si>
  <si>
    <t>Values from ESU LCA with REA modifications and in different units</t>
  </si>
  <si>
    <t>Calculations that are required to transform original LCA data to the desired output format for REA</t>
  </si>
  <si>
    <t>The fundamental LCA data was bought by AGFW from ESU. The data was then used by Dr. Andrej Jentsch to prepare tables of relevant factors for resource exergy analysis and a matching GHGE analysis.</t>
  </si>
  <si>
    <t>Explanation by ESU / Dr. Andrej Jentsch</t>
  </si>
  <si>
    <t>Assessment</t>
  </si>
  <si>
    <t>A calculation sheet that connects the ESU Summary_edit table with other data to obtain the data required for REA.</t>
  </si>
  <si>
    <t>CExD raw substance: Specific Energy (Higher Heating Value) in MJ/unit
(if used in calculation)</t>
  </si>
  <si>
    <t>CED raw substance: Specific Energy (Lower Heating Value) in MJ/unit
(if used in calculation)</t>
  </si>
  <si>
    <t>15,7-20,4</t>
  </si>
  <si>
    <t>UBA (https://www.umweltbundesamt.de/sites/default/files/medien/1968/publikationen/co2-emissionsfaktoren_fur_fossile_brennstoffe_korrektur.pdf) - Seite 5 Hinweis auf Heizwertbezug</t>
  </si>
  <si>
    <t>DELTA CExD due to modifications for REA</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</si>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</sst>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0.0%"/>
    <numFmt numFmtId="167" formatCode="_-* #,##0.0_-;\-* #,##0.0_-;_-* &quot;-&quot;??_-;_-@_-"/>
    <numFmt numFmtId="168" formatCode="_-* #,##0.000_-;\-* #,##0.000_-;_-* &quot;-&quot;??_-;_-@_-"/>
  </numFmts>
  <fonts count="14" x14ac:knownFonts="1">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b/>
      <sz val="11"/>
      <color rgb="FF000000"/>
      <name val="Calibri"/>
      <family val="2"/>
      <scheme val="minor"/>
    </font>
    <font>
      <sz val="11"/>
      <color theme="7" tint="-0.499984740745262"/>
      <name val="Calibri"/>
      <family val="2"/>
      <scheme val="minor"/>
    </font>
    <font>
      <b/>
      <sz val="11"/>
      <color theme="0" tint="-0.499984740745262"/>
      <name val="Calibri"/>
      <family val="2"/>
      <scheme val="minor"/>
    </font>
    <font>
      <sz val="11"/>
      <color theme="0" tint="-0.499984740745262"/>
      <name val="Calibri"/>
      <family val="2"/>
      <scheme val="minor"/>
    </font>
    <font>
      <sz val="11"/>
      <color theme="0" tint="-0.499984740745262"/>
      <name val="Calibri (Textkörper)"/>
    </font>
    <font>
      <sz val="11"/>
      <color theme="1"/>
      <name val="Calibri (Textkörper)"/>
    </font>
    <font>
      <sz val="11"/>
      <color theme="1"/>
      <name val="Calibri"/>
      <family val="2"/>
      <scheme val="minor"/>
    </font>
    <font>
      <sz val="11"/>
      <color rgb="FFC00000"/>
      <name val="Calibri"/>
      <family val="2"/>
      <scheme val="minor"/>
    </font>
    <font>
      <sz val="11"/>
      <color rgb="FF000000"/>
      <name val="Calibri"/>
      <family val="2"/>
      <scheme val="minor"/>
    </font>
    <font>
      <b/>
      <sz val="11"/>
      <color rgb="FFFF0000"/>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rgb="FFC0000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8BA6"/>
        <bgColor indexed="64"/>
      </patternFill>
    </fill>
    <fill>
      <patternFill patternType="solid">
        <fgColor theme="7"/>
        <bgColor indexed="64"/>
      </patternFill>
    </fill>
    <fill>
      <patternFill patternType="solid">
        <fgColor rgb="FFF9FF9D"/>
        <bgColor indexed="64"/>
      </patternFill>
    </fill>
    <fill>
      <patternFill patternType="solid">
        <fgColor theme="9"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9" fontId="10" fillId="0" borderId="0" applyFont="0" applyFill="0" applyBorder="0" applyAlignment="0" applyProtection="0"/>
    <xf numFmtId="43" fontId="10" fillId="0" borderId="0" applyFont="0" applyFill="0" applyBorder="0" applyAlignment="0" applyProtection="0"/>
  </cellStyleXfs>
  <cellXfs count="152">
    <xf numFmtId="0" fontId="0" fillId="0" borderId="0" xfId="0"/>
    <xf numFmtId="11" fontId="0" fillId="0" borderId="0" xfId="0" applyNumberFormat="1"/>
    <xf numFmtId="0" fontId="1" fillId="0" borderId="0" xfId="0" applyFont="1"/>
    <xf numFmtId="0" fontId="2" fillId="0" borderId="0" xfId="0" applyFont="1"/>
    <xf numFmtId="0" fontId="0" fillId="2" borderId="0" xfId="0" applyFill="1"/>
    <xf numFmtId="0" fontId="0" fillId="0" borderId="0" xfId="0" applyAlignment="1">
      <alignment wrapText="1"/>
    </xf>
    <xf numFmtId="0" fontId="2" fillId="0" borderId="0" xfId="0" applyFont="1" applyAlignment="1">
      <alignment wrapText="1"/>
    </xf>
    <xf numFmtId="164" fontId="0" fillId="0" borderId="0" xfId="0" applyNumberFormat="1"/>
    <xf numFmtId="2" fontId="0" fillId="0" borderId="0" xfId="0" applyNumberFormat="1"/>
    <xf numFmtId="0" fontId="1" fillId="0" borderId="0" xfId="0" applyFont="1" applyAlignment="1">
      <alignment wrapText="1"/>
    </xf>
    <xf numFmtId="0" fontId="0" fillId="3" borderId="0" xfId="0" applyFill="1" applyAlignment="1">
      <alignment wrapText="1"/>
    </xf>
    <xf numFmtId="0" fontId="0" fillId="4" borderId="0" xfId="0" applyFill="1" applyAlignment="1">
      <alignment wrapText="1"/>
    </xf>
    <xf numFmtId="0" fontId="0" fillId="0" borderId="0" xfId="0" applyAlignment="1">
      <alignment horizontal="center" wrapText="1"/>
    </xf>
    <xf numFmtId="0" fontId="3" fillId="0" borderId="0" xfId="1" applyAlignment="1">
      <alignment wrapText="1"/>
    </xf>
    <xf numFmtId="2" fontId="1" fillId="0" borderId="0" xfId="0" applyNumberFormat="1" applyFont="1"/>
    <xf numFmtId="164" fontId="0" fillId="0" borderId="0" xfId="0" applyNumberFormat="1" applyAlignment="1">
      <alignment wrapText="1"/>
    </xf>
    <xf numFmtId="0" fontId="0" fillId="4" borderId="0" xfId="0" applyFill="1"/>
    <xf numFmtId="2" fontId="0" fillId="4" borderId="0" xfId="0" applyNumberFormat="1" applyFill="1"/>
    <xf numFmtId="0" fontId="0" fillId="5" borderId="0" xfId="0" applyFill="1"/>
    <xf numFmtId="1" fontId="0" fillId="0" borderId="0" xfId="0" applyNumberFormat="1"/>
    <xf numFmtId="2" fontId="1" fillId="5" borderId="0" xfId="0" applyNumberFormat="1" applyFont="1" applyFill="1"/>
    <xf numFmtId="2" fontId="1" fillId="4" borderId="0" xfId="0" applyNumberFormat="1" applyFont="1" applyFill="1"/>
    <xf numFmtId="2" fontId="0" fillId="4" borderId="0" xfId="0" applyNumberFormat="1" applyFill="1" applyAlignment="1">
      <alignment wrapText="1"/>
    </xf>
    <xf numFmtId="0" fontId="0" fillId="0" borderId="0" xfId="0" applyAlignment="1">
      <alignment vertical="top" wrapText="1"/>
    </xf>
    <xf numFmtId="165" fontId="2" fillId="6" borderId="0" xfId="0" applyNumberFormat="1" applyFont="1" applyFill="1"/>
    <xf numFmtId="0" fontId="0" fillId="7" borderId="0" xfId="0" applyFill="1"/>
    <xf numFmtId="0" fontId="5" fillId="8" borderId="0" xfId="0" applyFont="1" applyFill="1"/>
    <xf numFmtId="164" fontId="1" fillId="0" borderId="0" xfId="0" applyNumberFormat="1" applyFon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0" fontId="8" fillId="0" borderId="0" xfId="0" applyFont="1"/>
    <xf numFmtId="0" fontId="1" fillId="0" borderId="0" xfId="0" applyFont="1" applyAlignment="1">
      <alignment vertical="top" wrapText="1"/>
    </xf>
    <xf numFmtId="0" fontId="1" fillId="0" borderId="0" xfId="0" applyFont="1" applyAlignment="1">
      <alignment vertical="top"/>
    </xf>
    <xf numFmtId="2" fontId="1" fillId="0" borderId="0" xfId="0" applyNumberFormat="1" applyFont="1" applyAlignment="1">
      <alignment vertical="top" wrapText="1"/>
    </xf>
    <xf numFmtId="0" fontId="6" fillId="0" borderId="0" xfId="0" applyFont="1" applyAlignment="1">
      <alignment vertical="top" wrapText="1"/>
    </xf>
    <xf numFmtId="164" fontId="1" fillId="0" borderId="0" xfId="0" applyNumberFormat="1" applyFont="1" applyAlignment="1">
      <alignment vertical="top" wrapText="1"/>
    </xf>
    <xf numFmtId="0" fontId="4" fillId="0" borderId="0" xfId="0" applyFont="1" applyAlignment="1">
      <alignment vertical="top"/>
    </xf>
    <xf numFmtId="0" fontId="7" fillId="0" borderId="0" xfId="0" applyFont="1" applyAlignment="1">
      <alignment horizontal="center" wrapText="1"/>
    </xf>
    <xf numFmtId="164" fontId="7" fillId="0" borderId="0" xfId="0" applyNumberFormat="1" applyFont="1" applyAlignment="1">
      <alignment wrapText="1"/>
    </xf>
    <xf numFmtId="2" fontId="6" fillId="0" borderId="0" xfId="0" applyNumberFormat="1" applyFont="1"/>
    <xf numFmtId="2" fontId="7" fillId="0" borderId="0" xfId="0" applyNumberFormat="1" applyFont="1"/>
    <xf numFmtId="2" fontId="6" fillId="0" borderId="0" xfId="0" applyNumberFormat="1" applyFont="1" applyAlignment="1">
      <alignment vertical="top" wrapText="1"/>
    </xf>
    <xf numFmtId="0" fontId="9" fillId="3" borderId="0" xfId="0" applyFont="1" applyFill="1"/>
    <xf numFmtId="165" fontId="1" fillId="0" borderId="0" xfId="0" applyNumberFormat="1" applyFont="1"/>
    <xf numFmtId="165" fontId="1" fillId="0" borderId="0" xfId="0" applyNumberFormat="1" applyFont="1" applyAlignment="1">
      <alignment vertical="top" wrapText="1"/>
    </xf>
    <xf numFmtId="165" fontId="0" fillId="0" borderId="0" xfId="0" applyNumberFormat="1"/>
    <xf numFmtId="9" fontId="0" fillId="0" borderId="0" xfId="2" applyFont="1"/>
    <xf numFmtId="165" fontId="1" fillId="0" borderId="0" xfId="0" applyNumberFormat="1" applyFont="1" applyAlignment="1">
      <alignment wrapText="1"/>
    </xf>
    <xf numFmtId="2" fontId="1" fillId="0" borderId="0" xfId="0" applyNumberFormat="1" applyFont="1" applyAlignment="1">
      <alignment wrapText="1"/>
    </xf>
    <xf numFmtId="2" fontId="7" fillId="0" borderId="0" xfId="0" applyNumberFormat="1" applyFont="1" applyAlignment="1">
      <alignment wrapText="1"/>
    </xf>
    <xf numFmtId="0" fontId="7" fillId="3" borderId="0" xfId="0" applyFont="1" applyFill="1" applyAlignment="1">
      <alignment wrapText="1"/>
    </xf>
    <xf numFmtId="2" fontId="7" fillId="3" borderId="0" xfId="0" applyNumberFormat="1" applyFont="1" applyFill="1" applyAlignment="1">
      <alignment wrapText="1"/>
    </xf>
    <xf numFmtId="2" fontId="0" fillId="3" borderId="0" xfId="0" applyNumberFormat="1" applyFill="1"/>
    <xf numFmtId="164" fontId="0" fillId="3" borderId="0" xfId="0" applyNumberFormat="1" applyFill="1"/>
    <xf numFmtId="0" fontId="0" fillId="3" borderId="0" xfId="0" applyFill="1"/>
    <xf numFmtId="11" fontId="0" fillId="4" borderId="0" xfId="0" applyNumberFormat="1" applyFill="1"/>
    <xf numFmtId="0" fontId="0" fillId="9" borderId="0" xfId="0" applyFill="1"/>
    <xf numFmtId="166" fontId="0" fillId="0" borderId="0" xfId="2" applyNumberFormat="1" applyFont="1" applyAlignment="1">
      <alignment wrapText="1"/>
    </xf>
    <xf numFmtId="0" fontId="7" fillId="0" borderId="1" xfId="0" applyFont="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165" fontId="7" fillId="0" borderId="0" xfId="0" applyNumberFormat="1" applyFont="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165" fontId="7" fillId="0" borderId="7" xfId="0" applyNumberFormat="1" applyFont="1" applyBorder="1" applyAlignment="1">
      <alignment wrapText="1"/>
    </xf>
    <xf numFmtId="0" fontId="7" fillId="0" borderId="8"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166" fontId="0" fillId="0" borderId="0" xfId="2" applyNumberFormat="1" applyFont="1" applyBorder="1" applyAlignment="1">
      <alignment wrapText="1"/>
    </xf>
    <xf numFmtId="166" fontId="0" fillId="0" borderId="5" xfId="2" applyNumberFormat="1" applyFont="1" applyBorder="1" applyAlignment="1">
      <alignment wrapText="1"/>
    </xf>
    <xf numFmtId="0" fontId="0" fillId="0" borderId="6" xfId="0" applyBorder="1" applyAlignment="1">
      <alignment wrapText="1"/>
    </xf>
    <xf numFmtId="0" fontId="0" fillId="0" borderId="7" xfId="0" applyBorder="1" applyAlignment="1">
      <alignment wrapText="1"/>
    </xf>
    <xf numFmtId="166" fontId="0" fillId="0" borderId="7" xfId="2" applyNumberFormat="1" applyFont="1" applyBorder="1" applyAlignment="1">
      <alignment wrapText="1"/>
    </xf>
    <xf numFmtId="166" fontId="0" fillId="0" borderId="8" xfId="2" applyNumberFormat="1" applyFont="1" applyBorder="1" applyAlignment="1">
      <alignment wrapText="1"/>
    </xf>
    <xf numFmtId="0" fontId="0" fillId="0" borderId="8" xfId="0" applyBorder="1" applyAlignment="1">
      <alignment wrapText="1"/>
    </xf>
    <xf numFmtId="164" fontId="6" fillId="0" borderId="0" xfId="0" applyNumberFormat="1" applyFont="1" applyAlignment="1">
      <alignment vertical="top" wrapText="1"/>
    </xf>
    <xf numFmtId="164" fontId="7" fillId="0" borderId="0" xfId="0" applyNumberFormat="1" applyFont="1"/>
    <xf numFmtId="9" fontId="7" fillId="0" borderId="0" xfId="2" applyFont="1"/>
    <xf numFmtId="0" fontId="7" fillId="0" borderId="0" xfId="0" applyFont="1" applyAlignment="1">
      <alignment horizontal="left" vertical="top" wrapText="1"/>
    </xf>
    <xf numFmtId="2" fontId="7" fillId="3" borderId="0" xfId="0" applyNumberFormat="1" applyFont="1" applyFill="1"/>
    <xf numFmtId="0" fontId="7" fillId="3" borderId="0" xfId="0" applyFont="1" applyFill="1"/>
    <xf numFmtId="165" fontId="0" fillId="3" borderId="0" xfId="0" applyNumberFormat="1" applyFill="1"/>
    <xf numFmtId="164" fontId="7" fillId="3" borderId="0" xfId="0" applyNumberFormat="1" applyFont="1" applyFill="1" applyAlignment="1">
      <alignment wrapText="1"/>
    </xf>
    <xf numFmtId="167" fontId="0" fillId="0" borderId="0" xfId="3" applyNumberFormat="1" applyFont="1"/>
    <xf numFmtId="0" fontId="6" fillId="0" borderId="1" xfId="0" applyFont="1" applyBorder="1" applyAlignment="1">
      <alignment wrapText="1"/>
    </xf>
    <xf numFmtId="0" fontId="1" fillId="0" borderId="2" xfId="0" applyFont="1" applyBorder="1" applyAlignment="1">
      <alignment wrapText="1"/>
    </xf>
    <xf numFmtId="165" fontId="1" fillId="0" borderId="2" xfId="0" applyNumberFormat="1" applyFont="1" applyBorder="1" applyAlignment="1">
      <alignment wrapText="1"/>
    </xf>
    <xf numFmtId="0" fontId="6" fillId="0" borderId="4" xfId="0" applyFont="1" applyBorder="1" applyAlignment="1">
      <alignment vertical="top" wrapText="1"/>
    </xf>
    <xf numFmtId="164" fontId="1" fillId="0" borderId="5" xfId="0" applyNumberFormat="1" applyFont="1" applyBorder="1" applyAlignment="1">
      <alignment vertical="top" wrapText="1"/>
    </xf>
    <xf numFmtId="164" fontId="0" fillId="0" borderId="5" xfId="0" applyNumberFormat="1" applyBorder="1"/>
    <xf numFmtId="0" fontId="7" fillId="3" borderId="4" xfId="0" applyFont="1" applyFill="1" applyBorder="1" applyAlignment="1">
      <alignment wrapText="1"/>
    </xf>
    <xf numFmtId="0" fontId="1" fillId="3" borderId="0" xfId="0" applyFont="1" applyFill="1" applyAlignment="1">
      <alignment wrapText="1"/>
    </xf>
    <xf numFmtId="165" fontId="1" fillId="3" borderId="0" xfId="0" applyNumberFormat="1" applyFont="1" applyFill="1" applyAlignment="1">
      <alignment wrapText="1"/>
    </xf>
    <xf numFmtId="164" fontId="0" fillId="3" borderId="5" xfId="0" applyNumberFormat="1" applyFill="1" applyBorder="1"/>
    <xf numFmtId="2" fontId="0" fillId="0" borderId="5" xfId="0" applyNumberFormat="1" applyBorder="1"/>
    <xf numFmtId="167" fontId="1" fillId="0" borderId="0" xfId="3" applyNumberFormat="1" applyFont="1" applyBorder="1" applyAlignment="1">
      <alignment horizontal="left" wrapText="1" indent="4"/>
    </xf>
    <xf numFmtId="0" fontId="1" fillId="0" borderId="7" xfId="0" applyFont="1" applyBorder="1" applyAlignment="1">
      <alignment wrapText="1"/>
    </xf>
    <xf numFmtId="165" fontId="1" fillId="0" borderId="7" xfId="0" applyNumberFormat="1" applyFont="1" applyBorder="1" applyAlignment="1">
      <alignment wrapText="1"/>
    </xf>
    <xf numFmtId="2" fontId="0" fillId="0" borderId="7" xfId="0" applyNumberFormat="1" applyBorder="1"/>
    <xf numFmtId="164" fontId="0" fillId="0" borderId="7" xfId="0" applyNumberFormat="1" applyBorder="1"/>
    <xf numFmtId="164" fontId="0" fillId="0" borderId="8" xfId="0" applyNumberFormat="1" applyBorder="1"/>
    <xf numFmtId="9" fontId="0" fillId="0" borderId="0" xfId="2" applyFont="1" applyBorder="1"/>
    <xf numFmtId="0" fontId="12" fillId="0" borderId="0" xfId="0" applyFont="1"/>
    <xf numFmtId="0" fontId="12" fillId="0" borderId="0" xfId="0" applyFont="1" applyAlignment="1">
      <alignment wrapText="1"/>
    </xf>
    <xf numFmtId="9" fontId="12" fillId="0" borderId="0" xfId="0" applyNumberFormat="1" applyFont="1"/>
    <xf numFmtId="43" fontId="6" fillId="0" borderId="4" xfId="3" applyFont="1" applyBorder="1" applyAlignment="1">
      <alignment vertical="top" wrapText="1"/>
    </xf>
    <xf numFmtId="43" fontId="1" fillId="0" borderId="0" xfId="3" applyFont="1" applyAlignment="1">
      <alignment vertical="top" wrapText="1"/>
    </xf>
    <xf numFmtId="43" fontId="7" fillId="0" borderId="4" xfId="3" applyFont="1" applyBorder="1" applyAlignment="1">
      <alignment wrapText="1"/>
    </xf>
    <xf numFmtId="43" fontId="1" fillId="0" borderId="0" xfId="3" applyFont="1" applyAlignment="1">
      <alignment wrapText="1"/>
    </xf>
    <xf numFmtId="43" fontId="0" fillId="0" borderId="0" xfId="3" applyFont="1"/>
    <xf numFmtId="43" fontId="7" fillId="3" borderId="4" xfId="3" applyFont="1" applyFill="1" applyBorder="1" applyAlignment="1">
      <alignment wrapText="1"/>
    </xf>
    <xf numFmtId="43" fontId="1" fillId="3" borderId="0" xfId="3" applyFont="1" applyFill="1" applyAlignment="1">
      <alignment wrapText="1"/>
    </xf>
    <xf numFmtId="43" fontId="1" fillId="0" borderId="0" xfId="3" applyFont="1" applyBorder="1" applyAlignment="1">
      <alignment horizontal="left" wrapText="1" indent="4"/>
    </xf>
    <xf numFmtId="43" fontId="7" fillId="0" borderId="6" xfId="3" applyFont="1" applyBorder="1" applyAlignment="1">
      <alignment wrapText="1"/>
    </xf>
    <xf numFmtId="43" fontId="1" fillId="0" borderId="7" xfId="3" applyFont="1" applyBorder="1" applyAlignment="1">
      <alignment wrapText="1"/>
    </xf>
    <xf numFmtId="0" fontId="1" fillId="0" borderId="1" xfId="0" applyFont="1" applyBorder="1" applyAlignment="1">
      <alignment wrapText="1"/>
    </xf>
    <xf numFmtId="0" fontId="6" fillId="0" borderId="2" xfId="0" applyFont="1" applyBorder="1" applyAlignment="1">
      <alignment wrapText="1"/>
    </xf>
    <xf numFmtId="2" fontId="6" fillId="0" borderId="2" xfId="0" applyNumberFormat="1" applyFont="1" applyBorder="1" applyAlignment="1">
      <alignment wrapText="1"/>
    </xf>
    <xf numFmtId="2" fontId="1" fillId="0" borderId="2" xfId="0" applyNumberFormat="1" applyFont="1" applyBorder="1" applyAlignment="1">
      <alignment wrapText="1"/>
    </xf>
    <xf numFmtId="164" fontId="1" fillId="0" borderId="2" xfId="0" applyNumberFormat="1" applyFont="1" applyBorder="1" applyAlignment="1">
      <alignment wrapText="1"/>
    </xf>
    <xf numFmtId="164" fontId="1" fillId="0" borderId="3" xfId="0" applyNumberFormat="1" applyFont="1" applyBorder="1" applyAlignment="1">
      <alignment wrapText="1"/>
    </xf>
    <xf numFmtId="0" fontId="0" fillId="3" borderId="4" xfId="0" applyFill="1" applyBorder="1" applyAlignment="1">
      <alignment wrapText="1"/>
    </xf>
    <xf numFmtId="2" fontId="7" fillId="0" borderId="7" xfId="0" applyNumberFormat="1" applyFont="1" applyBorder="1" applyAlignment="1">
      <alignment wrapText="1"/>
    </xf>
    <xf numFmtId="168" fontId="1" fillId="0" borderId="0" xfId="3" applyNumberFormat="1" applyFont="1" applyAlignment="1">
      <alignment vertical="top" wrapText="1"/>
    </xf>
    <xf numFmtId="168" fontId="1" fillId="0" borderId="5" xfId="3" applyNumberFormat="1" applyFont="1" applyBorder="1" applyAlignment="1">
      <alignment vertical="top" wrapText="1"/>
    </xf>
    <xf numFmtId="168" fontId="0" fillId="0" borderId="0" xfId="3" applyNumberFormat="1" applyFont="1"/>
    <xf numFmtId="168" fontId="0" fillId="0" borderId="5" xfId="3" applyNumberFormat="1" applyFont="1" applyBorder="1"/>
    <xf numFmtId="168" fontId="0" fillId="3" borderId="0" xfId="3" applyNumberFormat="1" applyFont="1" applyFill="1"/>
    <xf numFmtId="168" fontId="0" fillId="3" borderId="5" xfId="3" applyNumberFormat="1" applyFont="1" applyFill="1" applyBorder="1"/>
    <xf numFmtId="168" fontId="0" fillId="0" borderId="7" xfId="3" applyNumberFormat="1" applyFont="1" applyBorder="1"/>
    <xf numFmtId="168" fontId="0" fillId="0" borderId="8" xfId="3" applyNumberFormat="1" applyFont="1" applyBorder="1"/>
    <xf numFmtId="2" fontId="1" fillId="0" borderId="0" xfId="0" applyNumberFormat="1" applyFont="1" applyAlignment="1">
      <alignment horizontal="center" wrapText="1"/>
    </xf>
    <xf numFmtId="2" fontId="6" fillId="0" borderId="0" xfId="0" applyNumberFormat="1" applyFont="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6" fillId="0" borderId="0" xfId="0" applyFont="1" applyAlignment="1">
      <alignment horizontal="center"/>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1" fillId="0" borderId="0" xfId="0" applyFont="1" applyAlignment="1">
      <alignment horizontal="center" wrapText="1"/>
    </xf>
    <xf numFmtId="0" fontId="13" fillId="0" borderId="0" xfId="0" applyFont="1"/>
    <xf numFmtId="14" fontId="13" fillId="0" borderId="0" xfId="0" applyNumberFormat="1" applyFont="1"/>
  </cellXfs>
  <cellStyles count="4">
    <cellStyle name="Komma" xfId="3" builtinId="3"/>
    <cellStyle name="Link" xfId="1" builtinId="8"/>
    <cellStyle name="Prozent" xfId="2" builtinId="5"/>
    <cellStyle name="Standard" xfId="0" builtinId="0"/>
  </cellStyles>
  <dxfs count="4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5700"/>
      </font>
      <fill>
        <patternFill>
          <bgColor rgb="FFFFEB9C"/>
        </patternFill>
      </fill>
    </dxf>
    <dxf>
      <fill>
        <patternFill>
          <bgColor theme="5"/>
        </patternFill>
      </fill>
    </dxf>
    <dxf>
      <fill>
        <patternFill>
          <bgColor theme="5"/>
        </patternFill>
      </fill>
    </dxf>
    <dxf>
      <font>
        <color rgb="FF9C0006"/>
      </font>
      <fill>
        <patternFill>
          <bgColor rgb="FFFFC7CE"/>
        </patternFill>
      </fill>
    </dxf>
    <dxf>
      <font>
        <color rgb="FF9C5700"/>
      </font>
      <fill>
        <patternFill>
          <bgColor rgb="FFFFEB9C"/>
        </patternFill>
      </fill>
    </dxf>
    <dxf>
      <fill>
        <patternFill>
          <bgColor theme="5"/>
        </patternFill>
      </fill>
    </dxf>
    <dxf>
      <fill>
        <patternFill>
          <bgColor theme="5"/>
        </patternFill>
      </fill>
    </dxf>
    <dxf>
      <font>
        <color rgb="FF9C0006"/>
      </font>
      <fill>
        <patternFill>
          <bgColor rgb="FFFFC7CE"/>
        </patternFill>
      </fill>
    </dxf>
    <dxf>
      <font>
        <color rgb="FF9C5700"/>
      </font>
      <fill>
        <patternFill>
          <bgColor rgb="FFFFEB9C"/>
        </patternFill>
      </fill>
    </dxf>
    <dxf>
      <fill>
        <patternFill>
          <bgColor theme="5"/>
        </patternFill>
      </fill>
    </dxf>
    <dxf>
      <fill>
        <patternFill>
          <bgColor theme="5"/>
        </patternFill>
      </fill>
    </dxf>
    <dxf>
      <font>
        <color rgb="FF9C0006"/>
      </font>
      <fill>
        <patternFill>
          <bgColor rgb="FFFFC7CE"/>
        </patternFill>
      </fill>
    </dxf>
    <dxf>
      <font>
        <color rgb="FF9C5700"/>
      </font>
      <fill>
        <patternFill>
          <bgColor rgb="FFFFEB9C"/>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ill>
        <patternFill>
          <bgColor rgb="FFFFC000"/>
        </patternFill>
      </fill>
    </dxf>
    <dxf>
      <fill>
        <patternFill>
          <bgColor rgb="FFFFC000"/>
        </patternFill>
      </fill>
    </dxf>
    <dxf>
      <font>
        <color rgb="FF9C5700"/>
      </font>
      <fill>
        <patternFill>
          <bgColor rgb="FFFFEB9C"/>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s>
  <tableStyles count="0" defaultTableStyle="TableStyleMedium2" defaultPivotStyle="PivotStyleLight16"/>
  <colors>
    <mruColors>
      <color rgb="FFF9FF9D"/>
      <color rgb="FFFF8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Jentsch, Dr. Andrej" id="{5D21B634-B408-CB4A-AD90-675B6B11D9C6}" userId="S::a.jentsch@agfw.de::5f0fdaf0-a91d-4273-ad01-30da2a74df2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Y65" dT="2022-11-22T06:27:14.87" personId="{5D21B634-B408-CB4A-AD90-675B6B11D9C6}" id="{2DEF682B-8370-DC41-AD0E-5C4B7C1953AC}">
    <text>Exergy extraction from the ground is not considered in the LCA CExD, probably due to the fact the the exergy extracted depends on the temperatures - which vary. This value is therefore valid only for the exergy input of the pre-chain.</text>
  </threadedComment>
  <threadedComment ref="A69" dT="2023-02-20T05:51:41.79" personId="{5D21B634-B408-CB4A-AD90-675B6B11D9C6}" id="{2ECF6C12-6DBA-7C4C-B101-61F10B1FB311}">
    <text>This is the fundamental value to calculate resource exergy factors, since chemical exergy of water is considered transit exergy as it is usually not used by the energy system to generate useful energy.</text>
  </threadedComment>
  <threadedComment ref="AM69" dT="2022-11-04T05:28:39.78" personId="{5D21B634-B408-CB4A-AD90-675B6B11D9C6}" id="{E05F38D1-53BD-5244-B8B2-DF753714F85E}">
    <text>Water energy is not added here, because it is already considered as potential or kinetic exergy, while both categories do not exist for energy.</text>
  </threadedComment>
  <threadedComment ref="AL78" dT="2022-11-21T06:45:57.10" personId="{5D21B634-B408-CB4A-AD90-675B6B11D9C6}" id="{D15F59F0-E973-0C43-AE1A-01AF79B4288F}">
    <text>Here, an efficiency for the conversion of non-storable to storable energy was originally also applied (value was approx. 3.87).</text>
  </threadedComment>
  <threadedComment ref="AJ79" dT="2022-11-21T06:05:50.53" personId="{5D21B634-B408-CB4A-AD90-675B6B11D9C6}" id="{0154C36F-B2C7-B645-B300-18C9A5B46A17}">
    <text>Here, the solar value was correctly given as 3.58 MJ/kWh. PV and solar thermal are thus inconsistent.</text>
  </threadedComment>
  <threadedComment ref="AR79" dT="2022-11-22T06:25:05.81" personId="{5D21B634-B408-CB4A-AD90-675B6B11D9C6}" id="{407FD9BF-DA2D-F44F-AB6A-B58AE5E5BA26}">
    <text xml:space="preserve">Heat from solar thermal is evaluated with the Carnot factor when using REA. Therefore solar energy is not balanced if at a later stage the Carnot factor of heat is added to the pre-chain exergy input. </text>
  </threadedComment>
</ThreadedComments>
</file>

<file path=xl/threadedComments/threadedComment2.xml><?xml version="1.0" encoding="utf-8"?>
<ThreadedComments xmlns="http://schemas.microsoft.com/office/spreadsheetml/2018/threadedcomments" xmlns:x="http://schemas.openxmlformats.org/spreadsheetml/2006/main">
  <threadedComment ref="AO68" dT="2022-11-24T05:23:26.30" personId="{5D21B634-B408-CB4A-AD90-675B6B11D9C6}" id="{0FCA0E97-1519-6A4A-BB7A-16848E6DDB2D}">
    <text>Adapted since the energy balance has to be fulfilled.</text>
  </threadedComment>
  <threadedComment ref="AZ68" dT="2022-11-24T05:23:46.14" personId="{5D21B634-B408-CB4A-AD90-675B6B11D9C6}" id="{BC82A274-38AD-7241-A5BE-580B3EA04A31}">
    <text>Adapted since the energy balance has to be fulfilled.</text>
  </threadedComment>
  <threadedComment ref="AJ73" dT="2022-11-21T06:43:37.45" personId="{5D21B634-B408-CB4A-AD90-675B6B11D9C6}" id="{5AF0B973-2AEC-D84D-925B-38EFDA669652}">
    <text xml:space="preserve">Originally, values of about 3.85 were used here. That is, some conversion losses appear to be accounted for. However, since REA does not account for conversion losses from non-storable to storable energy, the use of RE was each set at 1 unit per product or 3.6 MJ/KWh. 
It is striking that in all other data sets (including wood, etc.) the wind, solar, geo use is very low (50 times lower than the difference of 0.25 for PV and wind). Therefore, it cannot be assumed that the 0.25 was brought in via renewable electricity, otherwise one would see proportionally high values for other technologies as well. </text>
  </threadedComment>
  <threadedComment ref="AR73" dT="2022-11-25T11:17:57.18" personId="{5D21B634-B408-CB4A-AD90-675B6B11D9C6}" id="{225BEE41-74F2-8248-8D32-F07B64D44BFB}">
    <text>Set to 1 since REA does not account for losses from Solar to Heat.</text>
  </threadedComment>
  <threadedComment ref="AU73" dT="2022-11-23T08:45:53.09" personId="{5D21B634-B408-CB4A-AD90-675B6B11D9C6}" id="{4A7F3C4D-67DC-B34A-B52A-DA3100D62222}">
    <text>Set to 0 as there were inconsistencies between the heat pumps. Air-source had very low values and geothermal high ones. Likely this was meant to indicate energy extraction. However, for air it did not fulfill the energy balance 0,13 MJ/MJ from wind. So it was set to 0. Heat extraction from the environment is considered in the table Richtvert assessment, when calculating final CED.</text>
  </threadedComment>
  <threadedComment ref="AY73" dT="2022-11-25T04:37:30.36" personId="{5D21B634-B408-CB4A-AD90-675B6B11D9C6}" id="{C7693BCD-9681-524B-A9F0-DBDF11C38009}">
    <text>The deep geothermal electricity generation has an electrical efficiency of 14%. This means 1 unit of electricity is produced per 7,14 units of geothermal heat. Since the standard unit is kWh however, 7,14 kWh of heat are needed which requires a multiplication by 3,6 MJ/kWh. 
It was agreed with ESU that the original database entry was likely wrong in terms of the units being used. However, it was assumed that only geothermal energy has been given for MJ while all other values were provided for kWh.</text>
  </threadedComment>
</ThreadedComments>
</file>

<file path=xl/threadedComments/threadedComment3.xml><?xml version="1.0" encoding="utf-8"?>
<ThreadedComments xmlns="http://schemas.microsoft.com/office/spreadsheetml/2018/threadedcomments" xmlns:x="http://schemas.openxmlformats.org/spreadsheetml/2006/main">
  <threadedComment ref="AO8" dT="2022-12-09T06:57:40.52" personId="{5D21B634-B408-CB4A-AD90-675B6B11D9C6}" id="{ADF8BA41-F697-634F-8C2E-17D5547AA902}">
    <text>Source for natural gas density of 0.712 kg/m3: 
https://www.unitrove.com/engineering/tools/gas/natural-gas-density</text>
  </threadedComment>
  <threadedComment ref="Y57" dT="2022-11-15T06:08:40.64" personId="{5D21B634-B408-CB4A-AD90-675B6B11D9C6}" id="{88232503-AA5A-1942-B88F-0016865AE369}">
    <text>Stromerzeugung durch Gütegrad = Carnotfaktor</text>
  </threadedComment>
</ThreadedComments>
</file>

<file path=xl/threadedComments/threadedComment4.xml><?xml version="1.0" encoding="utf-8"?>
<ThreadedComments xmlns="http://schemas.microsoft.com/office/spreadsheetml/2018/threadedcomments" xmlns:x="http://schemas.openxmlformats.org/spreadsheetml/2006/main">
  <threadedComment ref="C54" dT="2023-03-20T10:19:24.65" personId="{5D21B634-B408-CB4A-AD90-675B6B11D9C6}" id="{D4D01909-8EAA-6B44-A1E9-E5CA2F5E1FD2}">
    <text>Has been edited. Water exergy is transit exergy for REA. Thus the exergy was replaced by the energy from water to be consistent.</text>
  </threadedComment>
</ThreadedComment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70DF6-E326-A645-A864-9F8A2159D264}">
  <dimension ref="A1:B47"/>
  <sheetViews>
    <sheetView zoomScaleNormal="100" workbookViewId="0">
      <selection activeCell="I46" sqref="I46"/>
    </sheetView>
  </sheetViews>
  <sheetFormatPr baseColWidth="10" defaultColWidth="10.83203125" defaultRowHeight="15" x14ac:dyDescent="0.2"/>
  <cols>
    <col min="1" max="1" width="30.6640625" customWidth="1"/>
  </cols>
  <sheetData>
    <row r="1" spans="1:2" x14ac:dyDescent="0.2">
      <c r="A1" s="2" t="s">
        <v>389</v>
      </c>
    </row>
    <row r="3" spans="1:2" s="2" customFormat="1" x14ac:dyDescent="0.2">
      <c r="A3" s="2" t="s">
        <v>271</v>
      </c>
      <c r="B3" s="2" t="s">
        <v>390</v>
      </c>
    </row>
    <row r="5" spans="1:2" x14ac:dyDescent="0.2">
      <c r="A5" t="s">
        <v>730</v>
      </c>
      <c r="B5" t="s">
        <v>273</v>
      </c>
    </row>
    <row r="6" spans="1:2" x14ac:dyDescent="0.2">
      <c r="A6" t="s">
        <v>272</v>
      </c>
      <c r="B6" t="s">
        <v>273</v>
      </c>
    </row>
    <row r="7" spans="1:2" x14ac:dyDescent="0.2">
      <c r="A7" t="s">
        <v>274</v>
      </c>
      <c r="B7" t="s">
        <v>273</v>
      </c>
    </row>
    <row r="8" spans="1:2" x14ac:dyDescent="0.2">
      <c r="A8" t="s">
        <v>275</v>
      </c>
      <c r="B8" t="s">
        <v>273</v>
      </c>
    </row>
    <row r="9" spans="1:2" x14ac:dyDescent="0.2">
      <c r="A9" t="s">
        <v>276</v>
      </c>
      <c r="B9" t="s">
        <v>273</v>
      </c>
    </row>
    <row r="10" spans="1:2" x14ac:dyDescent="0.2">
      <c r="A10" t="s">
        <v>281</v>
      </c>
      <c r="B10" t="s">
        <v>273</v>
      </c>
    </row>
    <row r="12" spans="1:2" x14ac:dyDescent="0.2">
      <c r="A12" t="s">
        <v>277</v>
      </c>
      <c r="B12" t="s">
        <v>278</v>
      </c>
    </row>
    <row r="13" spans="1:2" x14ac:dyDescent="0.2">
      <c r="A13" t="s">
        <v>279</v>
      </c>
      <c r="B13" t="s">
        <v>280</v>
      </c>
    </row>
    <row r="14" spans="1:2" x14ac:dyDescent="0.2">
      <c r="A14" t="s">
        <v>282</v>
      </c>
      <c r="B14" t="s">
        <v>283</v>
      </c>
    </row>
    <row r="15" spans="1:2" x14ac:dyDescent="0.2">
      <c r="A15" t="s">
        <v>774</v>
      </c>
      <c r="B15" t="s">
        <v>788</v>
      </c>
    </row>
    <row r="16" spans="1:2" x14ac:dyDescent="0.2">
      <c r="A16" t="s">
        <v>791</v>
      </c>
      <c r="B16" t="s">
        <v>792</v>
      </c>
    </row>
    <row r="17" spans="1:2" x14ac:dyDescent="0.2">
      <c r="A17" t="s">
        <v>718</v>
      </c>
      <c r="B17" t="s">
        <v>719</v>
      </c>
    </row>
    <row r="19" spans="1:2" x14ac:dyDescent="0.2">
      <c r="A19" t="s">
        <v>721</v>
      </c>
      <c r="B19" t="s">
        <v>720</v>
      </c>
    </row>
    <row r="20" spans="1:2" x14ac:dyDescent="0.2">
      <c r="A20" t="s">
        <v>722</v>
      </c>
      <c r="B20" t="s">
        <v>723</v>
      </c>
    </row>
    <row r="21" spans="1:2" x14ac:dyDescent="0.2">
      <c r="A21" t="s">
        <v>724</v>
      </c>
      <c r="B21" t="s">
        <v>720</v>
      </c>
    </row>
    <row r="22" spans="1:2" x14ac:dyDescent="0.2">
      <c r="A22" t="s">
        <v>725</v>
      </c>
      <c r="B22" t="s">
        <v>720</v>
      </c>
    </row>
    <row r="23" spans="1:2" x14ac:dyDescent="0.2">
      <c r="A23" t="s">
        <v>726</v>
      </c>
      <c r="B23" t="s">
        <v>720</v>
      </c>
    </row>
    <row r="24" spans="1:2" x14ac:dyDescent="0.2">
      <c r="A24" t="s">
        <v>727</v>
      </c>
      <c r="B24" t="s">
        <v>728</v>
      </c>
    </row>
    <row r="29" spans="1:2" x14ac:dyDescent="0.2">
      <c r="A29" s="2" t="s">
        <v>397</v>
      </c>
    </row>
    <row r="30" spans="1:2" x14ac:dyDescent="0.2">
      <c r="A30" s="16"/>
      <c r="B30" t="s">
        <v>401</v>
      </c>
    </row>
    <row r="31" spans="1:2" x14ac:dyDescent="0.2">
      <c r="A31" s="58"/>
      <c r="B31" t="s">
        <v>729</v>
      </c>
    </row>
    <row r="33" spans="1:2" x14ac:dyDescent="0.2">
      <c r="A33" s="32" t="s">
        <v>399</v>
      </c>
      <c r="B33" t="s">
        <v>400</v>
      </c>
    </row>
    <row r="35" spans="1:2" x14ac:dyDescent="0.2">
      <c r="A35" s="2" t="s">
        <v>783</v>
      </c>
    </row>
    <row r="36" spans="1:2" x14ac:dyDescent="0.2">
      <c r="A36" s="24">
        <v>0</v>
      </c>
      <c r="B36" t="s">
        <v>391</v>
      </c>
    </row>
    <row r="37" spans="1:2" x14ac:dyDescent="0.2">
      <c r="A37" s="25">
        <v>1.6</v>
      </c>
      <c r="B37" t="s">
        <v>392</v>
      </c>
    </row>
    <row r="38" spans="1:2" x14ac:dyDescent="0.2">
      <c r="A38" s="26">
        <v>1.1000000000000001</v>
      </c>
      <c r="B38" t="s">
        <v>470</v>
      </c>
    </row>
    <row r="39" spans="1:2" x14ac:dyDescent="0.2">
      <c r="A39" s="44" t="s">
        <v>438</v>
      </c>
      <c r="B39" t="s">
        <v>439</v>
      </c>
    </row>
    <row r="42" spans="1:2" x14ac:dyDescent="0.2">
      <c r="A42" t="s">
        <v>247</v>
      </c>
      <c r="B42" t="s">
        <v>495</v>
      </c>
    </row>
    <row r="43" spans="1:2" x14ac:dyDescent="0.2">
      <c r="A43" t="s">
        <v>784</v>
      </c>
      <c r="B43" t="s">
        <v>785</v>
      </c>
    </row>
    <row r="45" spans="1:2" x14ac:dyDescent="0.2">
      <c r="A45" t="s">
        <v>789</v>
      </c>
    </row>
    <row r="47" spans="1:2" x14ac:dyDescent="0.2">
      <c r="A47" s="150" t="s">
        <v>798</v>
      </c>
      <c r="B47" s="151">
        <v>45492</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2FF9-CEC9-DD4B-A2AC-232095157488}">
  <dimension ref="A1:M10"/>
  <sheetViews>
    <sheetView workbookViewId="0"/>
  </sheetViews>
  <sheetFormatPr baseColWidth="10" defaultRowHeight="15" x14ac:dyDescent="0.2"/>
  <cols>
    <col min="1" max="1" width="39.5" customWidth="1"/>
    <col min="2" max="2" width="11.1640625" bestFit="1" customWidth="1"/>
    <col min="4" max="4" width="11.6640625" bestFit="1" customWidth="1"/>
    <col min="6" max="6" width="11.6640625" bestFit="1" customWidth="1"/>
  </cols>
  <sheetData>
    <row r="1" spans="1:13" x14ac:dyDescent="0.2">
      <c r="A1" s="2" t="s">
        <v>775</v>
      </c>
    </row>
    <row r="4" spans="1:13" x14ac:dyDescent="0.2">
      <c r="B4" t="s">
        <v>776</v>
      </c>
      <c r="D4" s="109"/>
      <c r="E4" s="109"/>
      <c r="F4" s="109"/>
      <c r="G4" s="109"/>
      <c r="H4" s="109"/>
      <c r="I4" s="109"/>
      <c r="J4" s="109"/>
      <c r="K4" s="109"/>
      <c r="L4" s="109" t="s">
        <v>773</v>
      </c>
      <c r="M4" s="109"/>
    </row>
    <row r="5" spans="1:13" ht="48" x14ac:dyDescent="0.2">
      <c r="A5" s="5" t="str">
        <f>'ESU Summary'!I53</f>
        <v>8.37 kg uranium ore per kg fuel element; 560000 MJ/kg uranium ore; From nuclear energy data set: 0.00000263 kg for 1 kWh ex power plant</v>
      </c>
      <c r="B5">
        <v>2.6299999999999998E-6</v>
      </c>
      <c r="C5" t="s">
        <v>777</v>
      </c>
      <c r="D5" s="110">
        <f>1/B5</f>
        <v>380228.1368821293</v>
      </c>
      <c r="E5" s="110" t="s">
        <v>768</v>
      </c>
      <c r="F5" s="110">
        <f>D5*3.6</f>
        <v>1368821.2927756654</v>
      </c>
      <c r="G5" s="110" t="s">
        <v>769</v>
      </c>
      <c r="H5" s="109">
        <v>0.31</v>
      </c>
      <c r="I5" s="110" t="s">
        <v>778</v>
      </c>
      <c r="J5" s="109">
        <f>F5/H5</f>
        <v>4415552.5573408566</v>
      </c>
      <c r="K5" s="109" t="s">
        <v>770</v>
      </c>
      <c r="L5" s="111">
        <v>0.01</v>
      </c>
      <c r="M5" s="111"/>
    </row>
    <row r="6" spans="1:13" ht="64" x14ac:dyDescent="0.2">
      <c r="A6" s="5" t="str">
        <f>'ESU Summary'!I54</f>
        <v>7.9 kg uranium ore per kg fuel element; 560000 MJ/kg uranium ore; From nuclear energy data set: 0.00000253 kg for 1kWh electricity ex power plant</v>
      </c>
      <c r="B6">
        <v>2.5299999999999999E-6</v>
      </c>
      <c r="C6" t="s">
        <v>777</v>
      </c>
      <c r="D6" s="110">
        <v>395256.91700000002</v>
      </c>
      <c r="E6" s="110" t="s">
        <v>768</v>
      </c>
      <c r="F6" s="110">
        <f>D6*3.6</f>
        <v>1422924.9012000002</v>
      </c>
      <c r="G6" s="110" t="s">
        <v>769</v>
      </c>
      <c r="H6" s="109">
        <v>0.33</v>
      </c>
      <c r="I6" s="110" t="s">
        <v>778</v>
      </c>
      <c r="J6" s="109">
        <f>F6/H6</f>
        <v>4311893.6400000006</v>
      </c>
      <c r="K6" s="109" t="s">
        <v>770</v>
      </c>
      <c r="L6" s="111">
        <v>0.03</v>
      </c>
      <c r="M6" s="111"/>
    </row>
    <row r="7" spans="1:13" x14ac:dyDescent="0.2">
      <c r="D7" s="109"/>
      <c r="E7" s="109"/>
      <c r="F7" s="109"/>
      <c r="G7" s="109"/>
      <c r="H7" s="109"/>
      <c r="I7" s="109"/>
      <c r="J7" s="109"/>
      <c r="K7" s="109"/>
      <c r="L7" s="109"/>
      <c r="M7" s="109"/>
    </row>
    <row r="8" spans="1:13" x14ac:dyDescent="0.2">
      <c r="D8" s="109"/>
      <c r="E8" s="109"/>
      <c r="F8" s="109"/>
      <c r="G8" s="109"/>
      <c r="H8" s="109"/>
      <c r="I8" s="109"/>
      <c r="J8" s="109"/>
      <c r="K8" s="109"/>
      <c r="L8" s="109"/>
      <c r="M8" s="109"/>
    </row>
    <row r="9" spans="1:13" ht="48" x14ac:dyDescent="0.2">
      <c r="D9" s="109"/>
      <c r="E9" s="109"/>
      <c r="F9" s="109"/>
      <c r="G9" s="109"/>
      <c r="H9" s="109"/>
      <c r="I9" s="110" t="s">
        <v>772</v>
      </c>
      <c r="J9" s="109">
        <v>4457142.8600000003</v>
      </c>
      <c r="K9" s="109" t="s">
        <v>770</v>
      </c>
      <c r="L9" s="109" t="s">
        <v>771</v>
      </c>
      <c r="M9" s="109" t="s">
        <v>771</v>
      </c>
    </row>
    <row r="10" spans="1:13" x14ac:dyDescent="0.2">
      <c r="J10" t="s">
        <v>779</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BD503-B44E-B44E-BCDC-D05817E56BEA}">
  <dimension ref="A1:AZ65"/>
  <sheetViews>
    <sheetView zoomScale="90" zoomScaleNormal="90" workbookViewId="0">
      <pane xSplit="7" ySplit="2" topLeftCell="H34" activePane="bottomRight" state="frozen"/>
      <selection pane="topRight" activeCell="G1" sqref="G1"/>
      <selection pane="bottomLeft" activeCell="A3" sqref="A3"/>
      <selection pane="bottomRight" activeCell="S42" sqref="S42"/>
    </sheetView>
  </sheetViews>
  <sheetFormatPr baseColWidth="10" defaultColWidth="36.6640625" defaultRowHeight="30" customHeight="1" outlineLevelCol="2" x14ac:dyDescent="0.2"/>
  <cols>
    <col min="1" max="1" width="22.33203125" style="5" customWidth="1"/>
    <col min="2" max="2" width="22.33203125" style="31" customWidth="1"/>
    <col min="3" max="3" width="5.33203125" customWidth="1"/>
    <col min="4" max="4" width="26" style="9" customWidth="1"/>
    <col min="5" max="5" width="22.33203125" style="9" customWidth="1"/>
    <col min="6" max="6" width="7.33203125" style="42" customWidth="1"/>
    <col min="7" max="7" width="6.6640625" customWidth="1"/>
    <col min="8" max="8" width="8.83203125" style="30" customWidth="1"/>
    <col min="9" max="9" width="11.6640625" customWidth="1"/>
    <col min="10" max="10" width="8.1640625" customWidth="1"/>
    <col min="11" max="11" width="22.83203125" customWidth="1" outlineLevel="2"/>
    <col min="12" max="12" width="9.83203125" style="30" customWidth="1" outlineLevel="2"/>
    <col min="13" max="13" width="9.83203125" style="31" customWidth="1" outlineLevel="2"/>
    <col min="14" max="14" width="6.5" customWidth="1" outlineLevel="2"/>
    <col min="15" max="15" width="11.33203125" customWidth="1" outlineLevel="2"/>
    <col min="16" max="17" width="19.5" customWidth="1" outlineLevel="2"/>
    <col min="18" max="18" width="13.33203125" style="5" customWidth="1" outlineLevel="2"/>
    <col min="19" max="19" width="14.83203125" style="8" customWidth="1" outlineLevel="2"/>
    <col min="20" max="20" width="17.1640625" style="8" customWidth="1" outlineLevel="2"/>
    <col min="21" max="21" width="17.5" style="7" customWidth="1" outlineLevel="2"/>
    <col min="22" max="22" width="16.83203125" style="7" customWidth="1" outlineLevel="2"/>
    <col min="23" max="23" width="13.1640625" style="5" customWidth="1" outlineLevel="2"/>
    <col min="24" max="24" width="12.33203125" customWidth="1" outlineLevel="2"/>
    <col min="25" max="25" width="13.5" style="47" customWidth="1" outlineLevel="2"/>
    <col min="26" max="26" width="12.83203125" customWidth="1" outlineLevel="2"/>
    <col min="27" max="29" width="11.1640625" customWidth="1" outlineLevel="2"/>
    <col min="30" max="30" width="13.33203125" style="31" customWidth="1" outlineLevel="2"/>
    <col min="31" max="31" width="8" style="31" customWidth="1" outlineLevel="2"/>
    <col min="32" max="32" width="45.33203125" style="31" customWidth="1" outlineLevel="2"/>
    <col min="33" max="33" width="16.6640625" style="31" customWidth="1" outlineLevel="2"/>
    <col min="34" max="34" width="14" style="31" customWidth="1" outlineLevel="2"/>
    <col min="35" max="35" width="5.6640625" style="5" customWidth="1" outlineLevel="2"/>
    <col min="36" max="36" width="11.33203125" style="42" customWidth="1" outlineLevel="2"/>
    <col min="37" max="37" width="11.33203125" style="83" customWidth="1" outlineLevel="2"/>
    <col min="38" max="38" width="14" customWidth="1" outlineLevel="2"/>
    <col min="39" max="39" width="16.6640625" style="31" customWidth="1"/>
    <col min="40" max="40" width="14.6640625" style="9" customWidth="1"/>
    <col min="41" max="41" width="16.6640625" style="49" customWidth="1"/>
    <col min="42" max="42" width="17.5" style="49" customWidth="1"/>
    <col min="43" max="43" width="14" customWidth="1"/>
    <col min="44" max="44" width="10" customWidth="1"/>
    <col min="45" max="46" width="10" style="7" customWidth="1"/>
    <col min="47" max="47" width="13.6640625" customWidth="1"/>
    <col min="48" max="51" width="10.1640625" style="30" customWidth="1"/>
    <col min="52" max="52" width="28.6640625" style="31" customWidth="1"/>
    <col min="53" max="53" width="50.1640625" bestFit="1" customWidth="1"/>
    <col min="54" max="54" width="63.33203125" bestFit="1" customWidth="1"/>
    <col min="55" max="55" width="52" bestFit="1" customWidth="1"/>
    <col min="56" max="56" width="32.83203125" bestFit="1" customWidth="1"/>
    <col min="57" max="57" width="38.6640625" bestFit="1" customWidth="1"/>
    <col min="58" max="58" width="59" bestFit="1" customWidth="1"/>
    <col min="59" max="59" width="62" bestFit="1" customWidth="1"/>
    <col min="60" max="60" width="76.83203125" bestFit="1" customWidth="1"/>
    <col min="61" max="61" width="54.33203125" bestFit="1" customWidth="1"/>
    <col min="62" max="62" width="32.33203125" bestFit="1" customWidth="1"/>
    <col min="63" max="63" width="38.6640625" bestFit="1" customWidth="1"/>
    <col min="64" max="64" width="33.6640625" bestFit="1" customWidth="1"/>
    <col min="65" max="65" width="63.83203125" bestFit="1" customWidth="1"/>
    <col min="66" max="66" width="47.83203125" bestFit="1" customWidth="1"/>
  </cols>
  <sheetData>
    <row r="1" spans="1:52" s="2" customFormat="1" ht="30" customHeight="1" x14ac:dyDescent="0.2">
      <c r="A1" s="9"/>
      <c r="B1" s="29"/>
      <c r="D1" s="9"/>
      <c r="E1" s="9"/>
      <c r="F1" s="41"/>
      <c r="H1" s="28"/>
      <c r="L1" s="28"/>
      <c r="M1" s="29"/>
      <c r="R1" s="9"/>
      <c r="S1" s="14" t="s">
        <v>253</v>
      </c>
      <c r="T1" s="14"/>
      <c r="U1" s="27"/>
      <c r="V1" s="27"/>
      <c r="W1" s="9"/>
      <c r="Y1" s="45"/>
      <c r="Z1" s="138" t="s">
        <v>787</v>
      </c>
      <c r="AA1" s="138"/>
      <c r="AB1" s="138"/>
      <c r="AC1" s="138"/>
      <c r="AD1" s="29"/>
      <c r="AE1" s="29"/>
      <c r="AF1" s="29"/>
      <c r="AG1" s="29"/>
      <c r="AH1" s="29"/>
      <c r="AI1" s="9"/>
      <c r="AJ1" s="139" t="s">
        <v>487</v>
      </c>
      <c r="AK1" s="139"/>
      <c r="AM1" s="91"/>
      <c r="AN1" s="92"/>
      <c r="AO1" s="93"/>
      <c r="AP1" s="93"/>
      <c r="AQ1" s="140" t="s">
        <v>293</v>
      </c>
      <c r="AR1" s="140"/>
      <c r="AS1" s="140"/>
      <c r="AT1" s="141"/>
      <c r="AV1" s="142" t="s">
        <v>763</v>
      </c>
      <c r="AW1" s="142"/>
      <c r="AX1" s="142"/>
      <c r="AY1" s="142"/>
      <c r="AZ1" s="29"/>
    </row>
    <row r="2" spans="1:52" s="34" customFormat="1" ht="143" customHeight="1" x14ac:dyDescent="0.2">
      <c r="A2" s="33" t="s">
        <v>223</v>
      </c>
      <c r="B2" s="36" t="str" cm="1">
        <f t="array" ref="B2:B54">TRANSPOSE(CExD_edit!B87:BB87)</f>
        <v>Datensatzname (deutsch)</v>
      </c>
      <c r="C2" s="34" t="s">
        <v>252</v>
      </c>
      <c r="D2" s="33" t="s">
        <v>395</v>
      </c>
      <c r="E2" s="33" t="s">
        <v>396</v>
      </c>
      <c r="F2" s="43" t="s">
        <v>394</v>
      </c>
      <c r="G2" s="34" t="s">
        <v>90</v>
      </c>
      <c r="H2" s="36" t="s">
        <v>294</v>
      </c>
      <c r="I2" s="33" t="s">
        <v>793</v>
      </c>
      <c r="J2" s="33" t="s">
        <v>794</v>
      </c>
      <c r="K2" s="33" t="s">
        <v>780</v>
      </c>
      <c r="L2" s="36" t="s">
        <v>398</v>
      </c>
      <c r="M2" s="36" t="s">
        <v>295</v>
      </c>
      <c r="O2" s="33" t="s">
        <v>296</v>
      </c>
      <c r="P2" s="34" t="s">
        <v>297</v>
      </c>
      <c r="R2" s="33"/>
      <c r="S2" s="35" t="s">
        <v>492</v>
      </c>
      <c r="T2" s="35" t="s">
        <v>491</v>
      </c>
      <c r="U2" s="37" t="s">
        <v>211</v>
      </c>
      <c r="V2" s="37" t="s">
        <v>212</v>
      </c>
      <c r="W2" s="33" t="s">
        <v>442</v>
      </c>
      <c r="X2" s="38"/>
      <c r="Y2" s="46" t="s">
        <v>759</v>
      </c>
      <c r="Z2" s="35" t="s">
        <v>499</v>
      </c>
      <c r="AA2" s="35" t="s">
        <v>251</v>
      </c>
      <c r="AB2" s="37" t="s">
        <v>500</v>
      </c>
      <c r="AC2" s="37" t="s">
        <v>501</v>
      </c>
      <c r="AD2" s="36" t="s">
        <v>447</v>
      </c>
      <c r="AE2" s="36" t="s">
        <v>446</v>
      </c>
      <c r="AF2" s="36" t="s">
        <v>790</v>
      </c>
      <c r="AG2" s="36" t="s">
        <v>761</v>
      </c>
      <c r="AH2" s="36" t="s">
        <v>393</v>
      </c>
      <c r="AI2" s="33"/>
      <c r="AJ2" s="43" t="s">
        <v>423</v>
      </c>
      <c r="AK2" s="82" t="s">
        <v>422</v>
      </c>
      <c r="AM2" s="94" t="s">
        <v>762</v>
      </c>
      <c r="AN2" s="33" t="s">
        <v>349</v>
      </c>
      <c r="AO2" s="46" t="s">
        <v>494</v>
      </c>
      <c r="AP2" s="46" t="s">
        <v>493</v>
      </c>
      <c r="AQ2" s="35" t="s">
        <v>437</v>
      </c>
      <c r="AR2" s="35" t="s">
        <v>251</v>
      </c>
      <c r="AS2" s="37" t="s">
        <v>250</v>
      </c>
      <c r="AT2" s="95" t="s">
        <v>249</v>
      </c>
      <c r="AV2" s="36" t="s">
        <v>473</v>
      </c>
      <c r="AW2" s="36" t="s">
        <v>474</v>
      </c>
      <c r="AX2" s="36" t="s">
        <v>475</v>
      </c>
      <c r="AY2" s="36" t="s">
        <v>476</v>
      </c>
      <c r="AZ2" s="36" t="s">
        <v>486</v>
      </c>
    </row>
    <row r="3" spans="1:52" ht="30" customHeight="1" x14ac:dyDescent="0.2">
      <c r="A3" s="5" t="s">
        <v>298</v>
      </c>
      <c r="B3" s="31" t="str">
        <v>Heizöl (USA)</v>
      </c>
      <c r="C3">
        <v>1</v>
      </c>
      <c r="D3" s="5" t="str">
        <f>'ESU Summary_edit'!B3</f>
        <v>light fuel oil, production US, at regional storage/kg/RER U</v>
      </c>
      <c r="E3" s="5" t="str">
        <f>CED_edit!B4</f>
        <v>1 kg light fuel oil, production US, at regional storage/kg/RER U (of project 000 primary energy factors various projects)</v>
      </c>
      <c r="G3" t="s">
        <v>194</v>
      </c>
      <c r="H3" s="30">
        <v>45.2</v>
      </c>
      <c r="I3">
        <f>'ESU Summary_edit'!N3</f>
        <v>46.5</v>
      </c>
      <c r="J3" s="5">
        <f>'ESU Summary_edit'!O3</f>
        <v>45.8</v>
      </c>
      <c r="K3" t="s">
        <v>247</v>
      </c>
      <c r="O3">
        <f>74*3.6/1000</f>
        <v>0.26640000000000003</v>
      </c>
      <c r="P3" s="5" t="s">
        <v>796</v>
      </c>
      <c r="Q3" s="5"/>
      <c r="S3" s="8">
        <f>'ESU Summary_edit'!I3</f>
        <v>58.113525492099996</v>
      </c>
      <c r="T3" s="8">
        <f>'ESU Summary_edit'!J3</f>
        <v>57.360730804200003</v>
      </c>
      <c r="U3" s="7">
        <f>'ESU Summary_edit'!K3</f>
        <v>0.87477159999999998</v>
      </c>
      <c r="V3" s="7">
        <f>'ESU Summary_edit'!L3</f>
        <v>1.2712611</v>
      </c>
      <c r="Z3" s="8">
        <f>S3/I3</f>
        <v>1.2497532363892472</v>
      </c>
      <c r="AA3" s="8">
        <f t="shared" ref="AA3:AA21" si="0">T3/J3</f>
        <v>1.2524177031484718</v>
      </c>
      <c r="AB3" s="7">
        <f>U3/(J3/3.6)+O3</f>
        <v>0.33515933973799128</v>
      </c>
      <c r="AC3" s="7">
        <f t="shared" ref="AC3:AC34" si="1">V3/(J3/3.6)+O3</f>
        <v>0.36632445327510921</v>
      </c>
      <c r="AF3" s="31" t="s">
        <v>440</v>
      </c>
      <c r="AG3" s="31" t="s">
        <v>259</v>
      </c>
      <c r="AJ3" s="51">
        <v>1.19</v>
      </c>
      <c r="AK3" s="40">
        <v>0.31900000000000001</v>
      </c>
      <c r="AM3" s="64" t="s">
        <v>261</v>
      </c>
      <c r="AN3" s="9" t="s">
        <v>350</v>
      </c>
      <c r="AO3" s="49">
        <f>AVERAGE(I3:I6)/3.6</f>
        <v>12.916666666666666</v>
      </c>
      <c r="AP3" s="49">
        <f>AVERAGE(J3:J6)/3.6</f>
        <v>12.722222222222221</v>
      </c>
      <c r="AQ3" s="8">
        <f>AVERAGE(Z3:Z6)</f>
        <v>1.2235188466946234</v>
      </c>
      <c r="AR3" s="8">
        <f>AVERAGE(AA3:AA6)</f>
        <v>1.2247815328269653</v>
      </c>
      <c r="AS3" s="7">
        <f>AVERAGE(AB3:AB6)</f>
        <v>0.32913329443231443</v>
      </c>
      <c r="AT3" s="96">
        <f>AVERAGE(AC3:AC6)</f>
        <v>0.36111117203056775</v>
      </c>
      <c r="AV3" s="84">
        <f>AQ3/AJ3-1</f>
        <v>2.8167098062708895E-2</v>
      </c>
      <c r="AW3" s="84">
        <f>AR3/AJ3-1</f>
        <v>2.9228178846189445E-2</v>
      </c>
      <c r="AX3" s="84">
        <f>AS3/AK3-1</f>
        <v>3.1765813267443432E-2</v>
      </c>
      <c r="AY3" s="84">
        <f>AT3/AK3-1</f>
        <v>0.13200994366949126</v>
      </c>
    </row>
    <row r="4" spans="1:52" ht="30" customHeight="1" x14ac:dyDescent="0.2">
      <c r="A4" s="5" t="s">
        <v>299</v>
      </c>
      <c r="B4" s="31" t="str">
        <v>Heizöl (Saudi Arabien)</v>
      </c>
      <c r="C4">
        <v>2</v>
      </c>
      <c r="D4" s="5" t="str">
        <f>'ESU Summary_edit'!B4</f>
        <v>light fuel oil, production SA, at regional storage/kg/RER U</v>
      </c>
      <c r="E4" s="5" t="str">
        <f>CED_edit!B5</f>
        <v>1 kg light fuel oil, production SA, at regional storage/kg/RER U (of project 000 primary energy factors various projects)</v>
      </c>
      <c r="G4" t="s">
        <v>194</v>
      </c>
      <c r="H4" s="30">
        <v>45.2</v>
      </c>
      <c r="I4">
        <f>'ESU Summary_edit'!N4</f>
        <v>46.5</v>
      </c>
      <c r="J4" s="5">
        <f>'ESU Summary_edit'!O4</f>
        <v>45.8</v>
      </c>
      <c r="K4" t="s">
        <v>247</v>
      </c>
      <c r="O4">
        <f>74*3.6/1000</f>
        <v>0.26640000000000003</v>
      </c>
      <c r="P4" t="s">
        <v>248</v>
      </c>
      <c r="S4" s="8">
        <f>'ESU Summary_edit'!I4</f>
        <v>55.195010809899998</v>
      </c>
      <c r="T4" s="8">
        <f>'ESU Summary_edit'!J4</f>
        <v>54.389345532800007</v>
      </c>
      <c r="U4" s="7">
        <f>'ESU Summary_edit'!K4</f>
        <v>0.64527084999999995</v>
      </c>
      <c r="V4" s="7">
        <f>'ESU Summary_edit'!L4</f>
        <v>0.93562403000000005</v>
      </c>
      <c r="Z4" s="8">
        <f t="shared" ref="Z4:Z21" si="2">S4/I4</f>
        <v>1.1869894797827956</v>
      </c>
      <c r="AA4" s="8">
        <f t="shared" si="0"/>
        <v>1.1875402954759828</v>
      </c>
      <c r="AB4" s="7">
        <f t="shared" ref="AB4:AB34" si="3">U4/(J4/3.6)+O4</f>
        <v>0.31711997947598258</v>
      </c>
      <c r="AC4" s="7">
        <f t="shared" si="1"/>
        <v>0.33994250017467253</v>
      </c>
      <c r="AG4" s="31" t="s">
        <v>259</v>
      </c>
      <c r="AJ4" s="51">
        <v>1.19</v>
      </c>
      <c r="AK4" s="40">
        <v>0.31900000000000001</v>
      </c>
      <c r="AM4" s="64"/>
      <c r="AQ4" s="8"/>
      <c r="AR4" s="8"/>
      <c r="AT4" s="96"/>
    </row>
    <row r="5" spans="1:52" ht="30" customHeight="1" x14ac:dyDescent="0.2">
      <c r="A5" s="5" t="s">
        <v>300</v>
      </c>
      <c r="B5" s="31" t="str">
        <v>Heizöl (Russland)</v>
      </c>
      <c r="C5">
        <v>3</v>
      </c>
      <c r="D5" s="5" t="str">
        <f>'ESU Summary_edit'!B5</f>
        <v>light fuel oil, production RU, at regional storage/kg/RER U</v>
      </c>
      <c r="E5" s="5" t="str">
        <f>CED_edit!B6</f>
        <v>1 kg light fuel oil, production RU, at regional storage/kg/RER U (of project 000 primary energy factors various projects)</v>
      </c>
      <c r="G5" t="s">
        <v>194</v>
      </c>
      <c r="H5" s="30">
        <v>45.2</v>
      </c>
      <c r="I5">
        <f>'ESU Summary_edit'!N5</f>
        <v>46.5</v>
      </c>
      <c r="J5" s="5">
        <f>'ESU Summary_edit'!O5</f>
        <v>45.8</v>
      </c>
      <c r="K5" t="s">
        <v>247</v>
      </c>
      <c r="O5">
        <f>74*3.6/1000</f>
        <v>0.26640000000000003</v>
      </c>
      <c r="P5" t="s">
        <v>248</v>
      </c>
      <c r="S5" s="8">
        <f>'ESU Summary_edit'!I5</f>
        <v>57.103276775099992</v>
      </c>
      <c r="T5" s="8">
        <f>'ESU Summary_edit'!J5</f>
        <v>56.3148292821</v>
      </c>
      <c r="U5" s="7">
        <f>'ESU Summary_edit'!K5</f>
        <v>0.93962798000000003</v>
      </c>
      <c r="V5" s="7">
        <f>'ESU Summary_edit'!L5</f>
        <v>1.6283993999999999</v>
      </c>
      <c r="Z5" s="8">
        <f t="shared" si="2"/>
        <v>1.2280274575290322</v>
      </c>
      <c r="AA5" s="8">
        <f t="shared" si="0"/>
        <v>1.2295814253733626</v>
      </c>
      <c r="AB5" s="7">
        <f t="shared" si="3"/>
        <v>0.34025722113537121</v>
      </c>
      <c r="AC5" s="7">
        <f t="shared" si="1"/>
        <v>0.39439645938864631</v>
      </c>
      <c r="AG5" s="31" t="s">
        <v>259</v>
      </c>
      <c r="AJ5" s="51">
        <v>1.19</v>
      </c>
      <c r="AK5" s="40">
        <v>0.31900000000000001</v>
      </c>
      <c r="AM5" s="64"/>
      <c r="AQ5" s="8"/>
      <c r="AR5" s="8"/>
      <c r="AT5" s="96"/>
    </row>
    <row r="6" spans="1:52" ht="30" customHeight="1" x14ac:dyDescent="0.2">
      <c r="A6" s="5" t="s">
        <v>301</v>
      </c>
      <c r="B6" s="31" t="str">
        <v>Heizöl (Kanada)</v>
      </c>
      <c r="C6">
        <v>4</v>
      </c>
      <c r="D6" s="5" t="str">
        <f>'ESU Summary_edit'!B6</f>
        <v>light fuel oil, production CA, at regional storage/kg/RER U</v>
      </c>
      <c r="E6" s="5" t="str">
        <f>CED_edit!B7</f>
        <v>1 kg light fuel oil, production CA, at regional storage/kg/RER U (of project 000 primary energy factors various projects)</v>
      </c>
      <c r="G6" t="s">
        <v>194</v>
      </c>
      <c r="H6" s="30">
        <v>45.2</v>
      </c>
      <c r="I6">
        <f>'ESU Summary_edit'!N6</f>
        <v>46.5</v>
      </c>
      <c r="J6" s="5">
        <f>'ESU Summary_edit'!O6</f>
        <v>45.8</v>
      </c>
      <c r="K6" t="s">
        <v>247</v>
      </c>
      <c r="O6">
        <f>74*3.6/1000</f>
        <v>0.26640000000000003</v>
      </c>
      <c r="P6" t="s">
        <v>248</v>
      </c>
      <c r="S6" s="8">
        <f>'ESU Summary_edit'!I6</f>
        <v>57.162692408099993</v>
      </c>
      <c r="T6" s="8">
        <f>'ESU Summary_edit'!J6</f>
        <v>56.315071194799998</v>
      </c>
      <c r="U6" s="7">
        <f>'ESU Summary_edit'!K6</f>
        <v>0.73275721999999999</v>
      </c>
      <c r="V6" s="7">
        <f>'ESU Summary_edit'!L6</f>
        <v>0.98446177999999995</v>
      </c>
      <c r="W6" s="5" t="s">
        <v>284</v>
      </c>
      <c r="Z6" s="8">
        <f t="shared" si="2"/>
        <v>1.2293052130774191</v>
      </c>
      <c r="AA6" s="8">
        <f t="shared" si="0"/>
        <v>1.2295867073100437</v>
      </c>
      <c r="AB6" s="7">
        <f t="shared" si="3"/>
        <v>0.32399663737991269</v>
      </c>
      <c r="AC6" s="7">
        <f t="shared" si="1"/>
        <v>0.34378127528384284</v>
      </c>
      <c r="AG6" s="31" t="s">
        <v>259</v>
      </c>
      <c r="AJ6" s="51">
        <v>1.19</v>
      </c>
      <c r="AK6" s="40">
        <v>0.31900000000000001</v>
      </c>
      <c r="AM6" s="64"/>
      <c r="AQ6" s="8"/>
      <c r="AR6" s="8"/>
      <c r="AT6" s="96"/>
    </row>
    <row r="7" spans="1:52" ht="30" customHeight="1" x14ac:dyDescent="0.2">
      <c r="A7" s="5" t="s">
        <v>302</v>
      </c>
      <c r="B7" s="31" t="str">
        <v xml:space="preserve">Schweröl </v>
      </c>
      <c r="C7">
        <v>5</v>
      </c>
      <c r="D7" s="5" t="str">
        <f>'ESU Summary_edit'!B7</f>
        <v>heavy fuel oil, at regional storage/kg/RER U</v>
      </c>
      <c r="E7" s="5" t="str">
        <f>CED_edit!B8</f>
        <v>1 kg heavy fuel oil, at regional storage/kg/RER U (of project ESU database 2022 UVEK)</v>
      </c>
      <c r="G7" t="s">
        <v>194</v>
      </c>
      <c r="H7" s="30">
        <v>43.7</v>
      </c>
      <c r="I7">
        <f>'ESU Summary_edit'!N7</f>
        <v>46.5</v>
      </c>
      <c r="J7" s="5">
        <f>'ESU Summary_edit'!O7</f>
        <v>45.8</v>
      </c>
      <c r="K7" t="s">
        <v>247</v>
      </c>
      <c r="O7">
        <f>79.7*3.6/1000</f>
        <v>0.28692000000000001</v>
      </c>
      <c r="P7" t="s">
        <v>248</v>
      </c>
      <c r="S7" s="8">
        <f>'ESU Summary_edit'!I7</f>
        <v>53.889571837999988</v>
      </c>
      <c r="T7" s="8">
        <f>'ESU Summary_edit'!J7</f>
        <v>53.170809044399988</v>
      </c>
      <c r="U7" s="7">
        <f>'ESU Summary_edit'!K7</f>
        <v>0.81325082999999998</v>
      </c>
      <c r="V7" s="7">
        <f>'ESU Summary_edit'!L7</f>
        <v>1.3918172</v>
      </c>
      <c r="Z7" s="8">
        <f t="shared" si="2"/>
        <v>1.1589155233978492</v>
      </c>
      <c r="AA7" s="8">
        <f t="shared" si="0"/>
        <v>1.1609346952925763</v>
      </c>
      <c r="AB7" s="7">
        <f t="shared" si="3"/>
        <v>0.35084364602620088</v>
      </c>
      <c r="AC7" s="7">
        <f t="shared" si="1"/>
        <v>0.3963204786026201</v>
      </c>
      <c r="AF7" s="31" t="s">
        <v>444</v>
      </c>
      <c r="AG7" s="31" t="s">
        <v>259</v>
      </c>
      <c r="AJ7" s="51">
        <v>1.19</v>
      </c>
      <c r="AK7" s="40">
        <v>0.31900000000000001</v>
      </c>
      <c r="AM7" s="64" t="s">
        <v>262</v>
      </c>
      <c r="AN7" s="9" t="s">
        <v>302</v>
      </c>
      <c r="AO7" s="49">
        <f>I7/3.6</f>
        <v>12.916666666666666</v>
      </c>
      <c r="AP7" s="49">
        <f>J7/3.6</f>
        <v>12.722222222222221</v>
      </c>
      <c r="AQ7" s="8">
        <f>Z7</f>
        <v>1.1589155233978492</v>
      </c>
      <c r="AR7" s="8">
        <f>AA7</f>
        <v>1.1609346952925763</v>
      </c>
      <c r="AS7" s="7">
        <f>AB7</f>
        <v>0.35084364602620088</v>
      </c>
      <c r="AT7" s="96">
        <f>AC7</f>
        <v>0.3963204786026201</v>
      </c>
      <c r="AV7" s="84">
        <f>AQ7/AJ7-1</f>
        <v>-2.6121408909370425E-2</v>
      </c>
      <c r="AW7" s="84">
        <f>AR7/AJ7-1</f>
        <v>-2.4424625804557731E-2</v>
      </c>
      <c r="AX7" s="84">
        <f>AS7/AK7-1</f>
        <v>9.9823341774924357E-2</v>
      </c>
      <c r="AY7" s="84">
        <f>AT7/AK7-1</f>
        <v>0.24238394546275899</v>
      </c>
    </row>
    <row r="8" spans="1:52" ht="30" customHeight="1" x14ac:dyDescent="0.2">
      <c r="A8" s="5" t="s">
        <v>303</v>
      </c>
      <c r="B8" s="31" t="str">
        <v>Erdgas (Pipeline aus Europa (ohne Russland)</v>
      </c>
      <c r="C8">
        <v>6</v>
      </c>
      <c r="D8" s="11" t="str">
        <f>'ESU Summary_edit'!B8</f>
        <v>natural gas, production NO, at long-distance pipeline/m3/DE U</v>
      </c>
      <c r="E8" s="5" t="str">
        <f>CED_edit!B9</f>
        <v>1 m3 natural gas, production NO, at long-distance pipeline/m3/DE U (of project ESU database 2022 UVEK)</v>
      </c>
      <c r="G8" t="s">
        <v>206</v>
      </c>
      <c r="H8" s="30">
        <v>36</v>
      </c>
      <c r="I8">
        <f>'ESU Summary_edit'!N8</f>
        <v>36</v>
      </c>
      <c r="J8" s="5">
        <f>'ESU Summary_edit'!O8</f>
        <v>38.299999999999997</v>
      </c>
      <c r="K8" t="s">
        <v>247</v>
      </c>
      <c r="O8">
        <f>55.9*3.6/1000</f>
        <v>0.20124</v>
      </c>
      <c r="P8" t="s">
        <v>248</v>
      </c>
      <c r="R8" s="13"/>
      <c r="S8" s="8">
        <f>'ESU Summary_edit'!I8</f>
        <v>37.751057987929997</v>
      </c>
      <c r="T8" s="8">
        <f>'ESU Summary_edit'!J8</f>
        <v>39.996945829159998</v>
      </c>
      <c r="U8" s="7">
        <f>'ESU Summary_edit'!K8</f>
        <v>0.1066246</v>
      </c>
      <c r="V8" s="7">
        <f>'ESU Summary_edit'!L8</f>
        <v>0.12293123</v>
      </c>
      <c r="Z8" s="8">
        <f t="shared" si="2"/>
        <v>1.0486404996647221</v>
      </c>
      <c r="AA8" s="8">
        <f t="shared" si="0"/>
        <v>1.0443066796125327</v>
      </c>
      <c r="AB8" s="7">
        <f t="shared" si="3"/>
        <v>0.21126215561357703</v>
      </c>
      <c r="AC8" s="7">
        <f t="shared" si="1"/>
        <v>0.21279489368146215</v>
      </c>
      <c r="AF8" s="31" t="s">
        <v>441</v>
      </c>
      <c r="AG8" s="31" t="s">
        <v>259</v>
      </c>
      <c r="AJ8" s="51">
        <v>1.1599999999999999</v>
      </c>
      <c r="AK8" s="40">
        <v>0.247</v>
      </c>
      <c r="AM8" s="64" t="s">
        <v>406</v>
      </c>
      <c r="AN8" s="9" t="s">
        <v>405</v>
      </c>
      <c r="AO8" s="49">
        <f>AVERAGE(I8:I9)/(3.6*0.712)</f>
        <v>14.044943820224718</v>
      </c>
      <c r="AP8" s="49">
        <f>AVERAGE(J8:J9)/(3.6*0.712)</f>
        <v>14.94225967540574</v>
      </c>
      <c r="AQ8" s="8">
        <f>SUM(Z8:Z9)/2</f>
        <v>1.1295429833459723</v>
      </c>
      <c r="AR8" s="8">
        <f>SUM(AA8:AA9)/2</f>
        <v>1.1240307840557442</v>
      </c>
      <c r="AS8" s="7">
        <f>SUM(AB8:AB9)/2</f>
        <v>0.2479312179634465</v>
      </c>
      <c r="AT8" s="96">
        <f>SUM(AC8:AC9)/2</f>
        <v>0.28954749853785899</v>
      </c>
      <c r="AV8" s="84">
        <f>AQ8/AJ8-1</f>
        <v>-2.6256048839679025E-2</v>
      </c>
      <c r="AW8" s="84">
        <f>AR8/AJ8-1</f>
        <v>-3.1007944779530838E-2</v>
      </c>
      <c r="AX8" s="84">
        <f>AS8/AK8-1</f>
        <v>3.7701132123340031E-3</v>
      </c>
      <c r="AY8" s="84">
        <f>AT8/AK8-1</f>
        <v>0.1722570791006437</v>
      </c>
    </row>
    <row r="9" spans="1:52" ht="30" customHeight="1" x14ac:dyDescent="0.2">
      <c r="A9" s="5" t="s">
        <v>304</v>
      </c>
      <c r="B9" s="31" t="str">
        <v>Erdgas (Pipeline aus Russland)</v>
      </c>
      <c r="C9">
        <v>7</v>
      </c>
      <c r="D9" s="5" t="str">
        <f>'ESU Summary_edit'!B9</f>
        <v>natural gas, production RU, at long-distance pipeline/m3/DE U</v>
      </c>
      <c r="E9" s="5" t="str">
        <f>CED_edit!B10</f>
        <v>1 m3 natural gas, production RU, at long-distance pipeline/m3/DE U (of project ESU database 2022 UVEK)</v>
      </c>
      <c r="G9" t="s">
        <v>206</v>
      </c>
      <c r="H9" s="30">
        <v>40</v>
      </c>
      <c r="I9">
        <f>'ESU Summary_edit'!N9</f>
        <v>36</v>
      </c>
      <c r="J9" s="5">
        <f>'ESU Summary_edit'!O9</f>
        <v>38.299999999999997</v>
      </c>
      <c r="K9" t="s">
        <v>247</v>
      </c>
      <c r="O9">
        <f>55.9*3.6/1000</f>
        <v>0.20124</v>
      </c>
      <c r="P9" t="s">
        <v>248</v>
      </c>
      <c r="S9" s="8">
        <f>'ESU Summary_edit'!I9</f>
        <v>43.576036812980007</v>
      </c>
      <c r="T9" s="8">
        <f>'ESU Summary_edit'!J9</f>
        <v>46.103812229510012</v>
      </c>
      <c r="U9" s="7">
        <f>'ESU Summary_edit'!K9</f>
        <v>0.88686076000000003</v>
      </c>
      <c r="V9" s="7">
        <f>'ESU Summary_edit'!L9</f>
        <v>1.7560560999999999</v>
      </c>
      <c r="Z9" s="8">
        <f t="shared" si="2"/>
        <v>1.2104454670272224</v>
      </c>
      <c r="AA9" s="8">
        <f t="shared" si="0"/>
        <v>1.203754888498956</v>
      </c>
      <c r="AB9" s="7">
        <f t="shared" si="3"/>
        <v>0.28460028031331597</v>
      </c>
      <c r="AC9" s="7">
        <f t="shared" si="1"/>
        <v>0.36630010339425589</v>
      </c>
      <c r="AF9" s="31" t="s">
        <v>445</v>
      </c>
      <c r="AG9" s="31" t="s">
        <v>259</v>
      </c>
      <c r="AJ9" s="51">
        <v>1.1599999999999999</v>
      </c>
      <c r="AK9" s="40">
        <v>0.247</v>
      </c>
      <c r="AM9" s="64"/>
      <c r="AQ9" s="8"/>
      <c r="AR9" s="8"/>
      <c r="AS9" s="8"/>
      <c r="AT9" s="8"/>
    </row>
    <row r="10" spans="1:52" ht="92" customHeight="1" x14ac:dyDescent="0.2">
      <c r="A10" s="5" t="s">
        <v>305</v>
      </c>
      <c r="B10" s="31" t="str">
        <v>Erdgas (Flüssiggas aus USA, konventionelle Förderung)</v>
      </c>
      <c r="C10">
        <v>8</v>
      </c>
      <c r="D10" s="5" t="str">
        <f>'ESU Summary_edit'!B10</f>
        <v>natural gas, liquefied, production US, at harbour/RER U</v>
      </c>
      <c r="E10" s="5" t="str">
        <f>CED_edit!B11</f>
        <v>1 m3 natural gas, liquefied, production US, at harbour/RER U (of project ESU database 2022 UVEK)</v>
      </c>
      <c r="G10" t="s">
        <v>206</v>
      </c>
      <c r="H10" s="30">
        <v>39.9</v>
      </c>
      <c r="I10">
        <f>'ESU Summary_edit'!N10</f>
        <v>36</v>
      </c>
      <c r="J10" s="5">
        <f>'ESU Summary_edit'!O10</f>
        <v>38.299999999999997</v>
      </c>
      <c r="K10" t="s">
        <v>247</v>
      </c>
      <c r="O10">
        <f>55.9*3.6/1000</f>
        <v>0.20124</v>
      </c>
      <c r="P10" t="s">
        <v>248</v>
      </c>
      <c r="S10" s="8">
        <f>'ESU Summary_edit'!I10</f>
        <v>50.937250939810014</v>
      </c>
      <c r="T10" s="8">
        <f>'ESU Summary_edit'!J10</f>
        <v>53.305906895059991</v>
      </c>
      <c r="U10" s="7">
        <f>'ESU Summary_edit'!K10</f>
        <v>1.0973134</v>
      </c>
      <c r="V10" s="7">
        <f>'ESU Summary_edit'!L10</f>
        <v>1.6369327</v>
      </c>
      <c r="W10" s="5" t="s">
        <v>285</v>
      </c>
      <c r="Z10" s="8">
        <f>S10/I10</f>
        <v>1.4149236372169449</v>
      </c>
      <c r="AA10" s="8">
        <f t="shared" si="0"/>
        <v>1.3917991356412531</v>
      </c>
      <c r="AB10" s="7">
        <f>U10/(J10/3.6)+O10</f>
        <v>0.30438172950391645</v>
      </c>
      <c r="AC10" s="7">
        <f t="shared" si="1"/>
        <v>0.35510312584856396</v>
      </c>
      <c r="AF10" s="31" t="s">
        <v>443</v>
      </c>
      <c r="AG10" s="31" t="s">
        <v>259</v>
      </c>
      <c r="AJ10" s="51">
        <v>1.1599999999999999</v>
      </c>
      <c r="AK10" s="40">
        <v>0.247</v>
      </c>
      <c r="AM10" s="64" t="s">
        <v>268</v>
      </c>
      <c r="AN10" s="9" t="s">
        <v>351</v>
      </c>
      <c r="AO10" s="49">
        <f>AVERAGE(I10:I11)/(3.6*0.712)</f>
        <v>14.044943820224718</v>
      </c>
      <c r="AP10" s="49">
        <f>AVERAGE(J10:J11)/(3.6*0.712)</f>
        <v>14.94225967540574</v>
      </c>
      <c r="AQ10" s="8">
        <f>SUM(Z10:Z11)/2</f>
        <v>1.3953677882568054</v>
      </c>
      <c r="AR10" s="8">
        <f>SUM(AA10:AA11)/2</f>
        <v>1.371551011056658</v>
      </c>
      <c r="AS10" s="7">
        <f>SUM(AB10:AB11)/2</f>
        <v>0.29557412835509139</v>
      </c>
      <c r="AT10" s="96">
        <f>SUM(AC10:AC11)/2</f>
        <v>0.33846526997389037</v>
      </c>
      <c r="AV10" s="84">
        <f>AQ10/AJ10-1</f>
        <v>0.20290326573862538</v>
      </c>
      <c r="AW10" s="84">
        <f t="shared" ref="AW10:AX12" si="4">AR10/AJ10-1</f>
        <v>0.18237156125573972</v>
      </c>
      <c r="AX10" s="84">
        <f t="shared" si="4"/>
        <v>0.19665639010158453</v>
      </c>
      <c r="AY10" s="84">
        <f>AT10/AK10-1</f>
        <v>0.3703047367363983</v>
      </c>
      <c r="AZ10" s="31" t="s">
        <v>478</v>
      </c>
    </row>
    <row r="11" spans="1:52" ht="30" customHeight="1" x14ac:dyDescent="0.2">
      <c r="A11" s="5" t="s">
        <v>306</v>
      </c>
      <c r="B11" s="31" t="str">
        <v>Erdgas (Flüssiggas aus Katar o.ä.)</v>
      </c>
      <c r="C11">
        <v>9</v>
      </c>
      <c r="D11" s="5" t="str">
        <f>'ESU Summary_edit'!B11</f>
        <v>natural gas, liquefied, production QA, at harbour/RER U</v>
      </c>
      <c r="E11" s="5" t="str">
        <f>CED_edit!B12</f>
        <v>1 m3 natural gas, liquefied, production QA, at harbour/RER U (of project ESU database 2022 UVEK)</v>
      </c>
      <c r="G11" t="s">
        <v>206</v>
      </c>
      <c r="H11" s="30">
        <v>39.9</v>
      </c>
      <c r="I11">
        <f>'ESU Summary_edit'!N11</f>
        <v>36</v>
      </c>
      <c r="J11" s="5">
        <f>'ESU Summary_edit'!O11</f>
        <v>38.299999999999997</v>
      </c>
      <c r="K11" t="s">
        <v>247</v>
      </c>
      <c r="O11">
        <f>55.9*3.6/1000</f>
        <v>0.20124</v>
      </c>
      <c r="P11" t="s">
        <v>248</v>
      </c>
      <c r="S11" s="8">
        <f>'ESU Summary_edit'!I11</f>
        <v>49.529229814679972</v>
      </c>
      <c r="T11" s="8">
        <f>'ESU Summary_edit'!J11</f>
        <v>51.754900551880006</v>
      </c>
      <c r="U11" s="7">
        <f>'ESU Summary_edit'!K11</f>
        <v>0.90990722000000002</v>
      </c>
      <c r="V11" s="7">
        <f>'ESU Summary_edit'!L11</f>
        <v>1.2829161</v>
      </c>
      <c r="Z11" s="8">
        <f t="shared" si="2"/>
        <v>1.3758119392966659</v>
      </c>
      <c r="AA11" s="8">
        <f t="shared" si="0"/>
        <v>1.3513028864720629</v>
      </c>
      <c r="AB11" s="7">
        <f t="shared" si="3"/>
        <v>0.28676652720626633</v>
      </c>
      <c r="AC11" s="7">
        <f t="shared" si="1"/>
        <v>0.32182741409921672</v>
      </c>
      <c r="AG11" s="31" t="s">
        <v>259</v>
      </c>
      <c r="AJ11" s="51">
        <v>1.1599999999999999</v>
      </c>
      <c r="AK11" s="40">
        <v>0.247</v>
      </c>
      <c r="AM11" s="64" t="s">
        <v>402</v>
      </c>
      <c r="AN11" s="9" t="s">
        <v>407</v>
      </c>
      <c r="AO11" s="49">
        <f>AVERAGE(I8:I11)/(3.6*0.712)</f>
        <v>14.044943820224718</v>
      </c>
      <c r="AP11" s="49">
        <f>AVERAGE(J8:J11)/(3.6*0.712)</f>
        <v>14.94225967540574</v>
      </c>
      <c r="AQ11" s="8">
        <f>AVERAGE(Z8:Z11)</f>
        <v>1.2624553858013887</v>
      </c>
      <c r="AR11" s="8">
        <f>AVERAGE(AA8:AA11)</f>
        <v>1.2477908975562011</v>
      </c>
      <c r="AS11" s="7">
        <f>AVERAGE(AB8:AB11)</f>
        <v>0.27175267315926893</v>
      </c>
      <c r="AT11" s="96">
        <f>AVERAGE(AC8:AC11)</f>
        <v>0.31400638425587468</v>
      </c>
      <c r="AV11" s="84">
        <f>AQ11/AJ11-1</f>
        <v>8.8323608449473179E-2</v>
      </c>
      <c r="AW11" s="84">
        <f t="shared" si="4"/>
        <v>7.5681808238104553E-2</v>
      </c>
      <c r="AX11" s="84">
        <f t="shared" si="4"/>
        <v>0.10021325165695916</v>
      </c>
      <c r="AY11" s="84">
        <f>AT11/AK11-1</f>
        <v>0.271280907918521</v>
      </c>
    </row>
    <row r="12" spans="1:52" ht="30" customHeight="1" x14ac:dyDescent="0.2">
      <c r="A12" s="5" t="s">
        <v>307</v>
      </c>
      <c r="B12" s="31" t="str">
        <v>Steinkohle (Russland)</v>
      </c>
      <c r="C12">
        <v>10</v>
      </c>
      <c r="D12" s="5" t="str">
        <f>'ESU Summary_edit'!B12</f>
        <v>Hard coal, production RU, at regional storage/DE U</v>
      </c>
      <c r="E12" s="5" t="str">
        <f>CED_edit!B13</f>
        <v>1 kg Hard coal, production RU, at regional storage/DE U (of project 000 primary energy factors various projects)</v>
      </c>
      <c r="G12" t="s">
        <v>194</v>
      </c>
      <c r="H12" s="30">
        <v>24.8</v>
      </c>
      <c r="I12" s="17">
        <f>'ESU Summary_edit'!N12*1.23</f>
        <v>24.230999999999998</v>
      </c>
      <c r="J12" s="22">
        <f>'ESU Summary_edit'!O12*1.23</f>
        <v>23.493000000000002</v>
      </c>
      <c r="K12" t="s">
        <v>455</v>
      </c>
      <c r="L12" s="30">
        <f>29.3</f>
        <v>29.3</v>
      </c>
      <c r="M12" s="31" t="s">
        <v>246</v>
      </c>
      <c r="O12">
        <f t="shared" ref="O12:O16" si="5">93.6*3.6/1000</f>
        <v>0.33695999999999998</v>
      </c>
      <c r="P12" t="s">
        <v>248</v>
      </c>
      <c r="S12" s="8">
        <f>'ESU Summary_edit'!I12</f>
        <v>29.045001686399999</v>
      </c>
      <c r="T12" s="8">
        <f>'ESU Summary_edit'!J12</f>
        <v>28.109443005700001</v>
      </c>
      <c r="U12" s="7">
        <f>'ESU Summary_edit'!K12</f>
        <v>0.47431436999999999</v>
      </c>
      <c r="V12" s="7">
        <f>'ESU Summary_edit'!L12</f>
        <v>0.98472181999999997</v>
      </c>
      <c r="Z12" s="8">
        <f t="shared" si="2"/>
        <v>1.1986711933638727</v>
      </c>
      <c r="AA12" s="8">
        <f t="shared" si="0"/>
        <v>1.1965029160047673</v>
      </c>
      <c r="AB12" s="7">
        <f t="shared" si="3"/>
        <v>0.40964257489464945</v>
      </c>
      <c r="AC12" s="7">
        <f t="shared" si="1"/>
        <v>0.487855949942536</v>
      </c>
      <c r="AD12" s="39"/>
      <c r="AE12" s="39"/>
      <c r="AF12" s="85" t="s">
        <v>765</v>
      </c>
      <c r="AG12" s="85" t="s">
        <v>259</v>
      </c>
      <c r="AH12" s="39"/>
      <c r="AI12" s="12"/>
      <c r="AJ12" s="51">
        <v>1.0900000000000001</v>
      </c>
      <c r="AK12" s="40">
        <v>0.438</v>
      </c>
      <c r="AM12" s="64" t="s">
        <v>408</v>
      </c>
      <c r="AN12" s="9" t="s">
        <v>403</v>
      </c>
      <c r="AO12" s="49">
        <f>AVERAGE(I12:I16)/3.6</f>
        <v>6.5699062222222215</v>
      </c>
      <c r="AP12" s="49">
        <f>AVERAGE(J12:J16)/3.6</f>
        <v>6.3698075555555551</v>
      </c>
      <c r="AQ12" s="8">
        <f>SUM(Z12:Z16)/5</f>
        <v>1.1645409778230671</v>
      </c>
      <c r="AR12" s="8">
        <f>SUM(AA12:AA16)/5</f>
        <v>1.1641913597942823</v>
      </c>
      <c r="AS12" s="7">
        <f>SUM(AB12:AB16)/5</f>
        <v>0.38757865444207656</v>
      </c>
      <c r="AT12" s="96">
        <f>SUM(AC12:AC16)/5</f>
        <v>0.41969459043766993</v>
      </c>
      <c r="AV12" s="84">
        <f>AQ12/AJ12-1</f>
        <v>6.8386218186299974E-2</v>
      </c>
      <c r="AW12" s="84">
        <f t="shared" si="4"/>
        <v>6.8065467701176274E-2</v>
      </c>
      <c r="AX12" s="84">
        <f t="shared" si="4"/>
        <v>-0.11511722730119511</v>
      </c>
      <c r="AY12" s="84">
        <f>AT12/AK12-1</f>
        <v>-4.1793172516735311E-2</v>
      </c>
    </row>
    <row r="13" spans="1:52" ht="30" customHeight="1" x14ac:dyDescent="0.2">
      <c r="A13" s="5" t="s">
        <v>308</v>
      </c>
      <c r="B13" s="31" t="str">
        <v>Steinkohle (USA)</v>
      </c>
      <c r="C13">
        <v>11</v>
      </c>
      <c r="D13" s="5" t="str">
        <f>'ESU Summary_edit'!B13</f>
        <v>Hard coal, production US, at regional storage/DE U</v>
      </c>
      <c r="E13" s="5" t="str">
        <f>CED_edit!B14</f>
        <v>1 kg Hard coal, production US, at regional storage/DE U (of project 000 primary energy factors various projects)</v>
      </c>
      <c r="G13" t="s">
        <v>194</v>
      </c>
      <c r="H13" s="30">
        <v>24.8</v>
      </c>
      <c r="I13" s="17">
        <f>'ESU Summary_edit'!N13*1.32</f>
        <v>26.004000000000001</v>
      </c>
      <c r="J13" s="22">
        <f>'ESU Summary_edit'!O13*1.32</f>
        <v>25.212000000000003</v>
      </c>
      <c r="K13" t="s">
        <v>455</v>
      </c>
      <c r="L13" s="30">
        <v>29.3</v>
      </c>
      <c r="M13" s="31" t="s">
        <v>246</v>
      </c>
      <c r="O13">
        <f t="shared" si="5"/>
        <v>0.33695999999999998</v>
      </c>
      <c r="P13" t="s">
        <v>248</v>
      </c>
      <c r="S13" s="8">
        <f>'ESU Summary_edit'!I13</f>
        <v>28.80882058808</v>
      </c>
      <c r="T13" s="8">
        <f>'ESU Summary_edit'!J13</f>
        <v>27.93812395622</v>
      </c>
      <c r="U13" s="7">
        <f>'ESU Summary_edit'!K13</f>
        <v>0.23049895000000001</v>
      </c>
      <c r="V13" s="7">
        <f>'ESU Summary_edit'!L13</f>
        <v>0.40764067999999998</v>
      </c>
      <c r="Z13" s="8">
        <f t="shared" si="2"/>
        <v>1.1078611209075526</v>
      </c>
      <c r="AA13" s="8">
        <f t="shared" si="0"/>
        <v>1.1081280325329206</v>
      </c>
      <c r="AB13" s="7">
        <f t="shared" si="3"/>
        <v>0.36987274869109943</v>
      </c>
      <c r="AC13" s="7">
        <f t="shared" si="1"/>
        <v>0.39516666539742978</v>
      </c>
      <c r="AD13" s="39"/>
      <c r="AE13" s="39"/>
      <c r="AF13" s="85"/>
      <c r="AG13" s="85" t="s">
        <v>259</v>
      </c>
      <c r="AH13" s="39"/>
      <c r="AI13" s="12"/>
      <c r="AJ13" s="51">
        <v>1.0900000000000001</v>
      </c>
      <c r="AK13" s="40">
        <v>0.438</v>
      </c>
      <c r="AM13" s="64"/>
      <c r="AQ13" s="8"/>
      <c r="AR13" s="8"/>
      <c r="AT13" s="96"/>
    </row>
    <row r="14" spans="1:52" ht="30" customHeight="1" x14ac:dyDescent="0.2">
      <c r="A14" s="5" t="s">
        <v>309</v>
      </c>
      <c r="B14" s="31" t="str">
        <v>Steinkohle (Australien)</v>
      </c>
      <c r="C14">
        <v>12</v>
      </c>
      <c r="D14" s="5" t="str">
        <f>'ESU Summary_edit'!B14</f>
        <v>Hard coal, production AU, at regional storage/DE U</v>
      </c>
      <c r="E14" s="5" t="str">
        <f>CED_edit!B15</f>
        <v>1 kg Hard coal, production AU, at regional storage/DE U (of project 000 primary energy factors various projects)</v>
      </c>
      <c r="G14" t="s">
        <v>194</v>
      </c>
      <c r="H14" s="30">
        <v>24.8</v>
      </c>
      <c r="I14" s="17">
        <f>'ESU Summary_edit'!N14*1.38</f>
        <v>27.185999999999996</v>
      </c>
      <c r="J14" s="22">
        <f>'ESU Summary_edit'!O14*1.38</f>
        <v>26.358000000000001</v>
      </c>
      <c r="K14" t="s">
        <v>455</v>
      </c>
      <c r="L14" s="30">
        <v>29.3</v>
      </c>
      <c r="M14" s="31" t="s">
        <v>246</v>
      </c>
      <c r="O14">
        <f t="shared" si="5"/>
        <v>0.33695999999999998</v>
      </c>
      <c r="P14" t="s">
        <v>248</v>
      </c>
      <c r="S14" s="8">
        <f>'ESU Summary_edit'!I14</f>
        <v>30.376768447269988</v>
      </c>
      <c r="T14" s="8">
        <f>'ESU Summary_edit'!J14</f>
        <v>29.462470657780003</v>
      </c>
      <c r="U14" s="7">
        <f>'ESU Summary_edit'!K14</f>
        <v>0.26834954</v>
      </c>
      <c r="V14" s="7">
        <f>'ESU Summary_edit'!L14</f>
        <v>0.43669994000000001</v>
      </c>
      <c r="Z14" s="8">
        <f t="shared" si="2"/>
        <v>1.117368073540425</v>
      </c>
      <c r="AA14" s="8">
        <f t="shared" si="0"/>
        <v>1.1177809643288565</v>
      </c>
      <c r="AB14" s="7">
        <f t="shared" si="3"/>
        <v>0.37361142818119736</v>
      </c>
      <c r="AC14" s="7">
        <f t="shared" si="1"/>
        <v>0.39660488140223082</v>
      </c>
      <c r="AD14" s="39"/>
      <c r="AE14" s="39"/>
      <c r="AF14" s="85"/>
      <c r="AG14" s="85" t="s">
        <v>259</v>
      </c>
      <c r="AH14" s="39"/>
      <c r="AI14" s="12"/>
      <c r="AJ14" s="51">
        <v>1.0900000000000001</v>
      </c>
      <c r="AK14" s="40">
        <v>0.438</v>
      </c>
      <c r="AM14" s="64"/>
      <c r="AQ14" s="8"/>
      <c r="AR14" s="8"/>
      <c r="AT14" s="96"/>
    </row>
    <row r="15" spans="1:52" ht="30" customHeight="1" x14ac:dyDescent="0.2">
      <c r="A15" s="5" t="s">
        <v>310</v>
      </c>
      <c r="B15" s="31" t="str">
        <v>Steinkohle (Kolumbien)</v>
      </c>
      <c r="C15">
        <v>13</v>
      </c>
      <c r="D15" s="5" t="str">
        <f>'ESU Summary_edit'!B15</f>
        <v>Hard coal, production CO, at regional storage/DE U</v>
      </c>
      <c r="E15" s="5" t="str">
        <f>CED_edit!B16</f>
        <v>1 kg Hard coal, production CO, at regional storage/DE U (of project 000 primary energy factors various projects)</v>
      </c>
      <c r="G15" t="s">
        <v>194</v>
      </c>
      <c r="H15" s="30">
        <v>24.8</v>
      </c>
      <c r="I15" s="17">
        <f>'ESU Summary_edit'!N15*1.25</f>
        <v>24.625</v>
      </c>
      <c r="J15" s="22">
        <f>'ESU Summary_edit'!O15*1.25</f>
        <v>23.875</v>
      </c>
      <c r="K15" t="s">
        <v>455</v>
      </c>
      <c r="L15" s="30">
        <v>29.3</v>
      </c>
      <c r="M15" s="31" t="s">
        <v>246</v>
      </c>
      <c r="O15">
        <f t="shared" si="5"/>
        <v>0.33695999999999998</v>
      </c>
      <c r="P15" t="s">
        <v>248</v>
      </c>
      <c r="S15" s="8">
        <f>'ESU Summary_edit'!I15</f>
        <v>26.602610502510004</v>
      </c>
      <c r="T15" s="8">
        <f>'ESU Summary_edit'!J15</f>
        <v>25.786366353399998</v>
      </c>
      <c r="U15" s="7">
        <f>'ESU Summary_edit'!K15</f>
        <v>0.12668802000000001</v>
      </c>
      <c r="V15" s="7">
        <f>'ESU Summary_edit'!L15</f>
        <v>0.15197874</v>
      </c>
      <c r="Z15" s="8">
        <f t="shared" si="2"/>
        <v>1.0803090559394926</v>
      </c>
      <c r="AA15" s="8">
        <f t="shared" si="0"/>
        <v>1.0800572294617801</v>
      </c>
      <c r="AB15" s="7">
        <f t="shared" si="3"/>
        <v>0.35606269620942405</v>
      </c>
      <c r="AC15" s="7">
        <f t="shared" si="1"/>
        <v>0.35987616603141359</v>
      </c>
      <c r="AD15" s="39"/>
      <c r="AE15" s="39"/>
      <c r="AF15" s="85" t="s">
        <v>448</v>
      </c>
      <c r="AG15" s="85" t="s">
        <v>259</v>
      </c>
      <c r="AH15" s="39"/>
      <c r="AI15" s="12"/>
      <c r="AJ15" s="51">
        <v>1.0900000000000001</v>
      </c>
      <c r="AK15" s="40">
        <v>0.438</v>
      </c>
      <c r="AM15" s="64"/>
      <c r="AQ15" s="8"/>
      <c r="AR15" s="8"/>
      <c r="AT15" s="96"/>
    </row>
    <row r="16" spans="1:52" ht="30" customHeight="1" x14ac:dyDescent="0.2">
      <c r="A16" s="5" t="s">
        <v>311</v>
      </c>
      <c r="B16" s="31" t="str">
        <v>Steinkohle (Indonesien)</v>
      </c>
      <c r="C16">
        <v>14</v>
      </c>
      <c r="D16" s="5" t="str">
        <f>'ESU Summary_edit'!B16</f>
        <v>Hard coal, production IN, at regional storage/DE U</v>
      </c>
      <c r="E16" s="5" t="str">
        <f>CED_edit!B17</f>
        <v>1 kg Hard coal, production IN, at regional storage/DE U (of project 000 primary energy factors various projects)</v>
      </c>
      <c r="G16" t="s">
        <v>194</v>
      </c>
      <c r="H16" s="30">
        <v>18</v>
      </c>
      <c r="I16" s="17">
        <f>'ESU Summary_edit'!N16*0.82296</f>
        <v>16.212312000000001</v>
      </c>
      <c r="J16" s="22">
        <f>'ESU Summary_edit'!O16*0.82296</f>
        <v>15.718536000000002</v>
      </c>
      <c r="K16" t="s">
        <v>455</v>
      </c>
      <c r="L16" s="30">
        <v>29.3</v>
      </c>
      <c r="M16" s="31" t="s">
        <v>246</v>
      </c>
      <c r="O16">
        <f t="shared" si="5"/>
        <v>0.33695999999999998</v>
      </c>
      <c r="P16" t="s">
        <v>248</v>
      </c>
      <c r="S16" s="8">
        <f>'ESU Summary_edit'!I16</f>
        <v>21.375859530820001</v>
      </c>
      <c r="T16" s="8">
        <f>'ESU Summary_edit'!J16</f>
        <v>20.7246956965</v>
      </c>
      <c r="U16" s="7">
        <f>'ESU Summary_edit'!K16</f>
        <v>0.40057738999999998</v>
      </c>
      <c r="V16" s="7">
        <f>'ESU Summary_edit'!L16</f>
        <v>0.53272428000000005</v>
      </c>
      <c r="Z16" s="8">
        <f t="shared" si="2"/>
        <v>1.3184954453639925</v>
      </c>
      <c r="AA16" s="8">
        <f t="shared" si="0"/>
        <v>1.3184876566430868</v>
      </c>
      <c r="AB16" s="7">
        <f t="shared" si="3"/>
        <v>0.4287038242340126</v>
      </c>
      <c r="AC16" s="7">
        <f t="shared" si="1"/>
        <v>0.45896928941473936</v>
      </c>
      <c r="AD16" s="39"/>
      <c r="AE16" s="39"/>
      <c r="AF16" s="85"/>
      <c r="AG16" s="85" t="s">
        <v>259</v>
      </c>
      <c r="AH16" s="39"/>
      <c r="AI16" s="12"/>
      <c r="AJ16" s="51">
        <v>1.0900000000000001</v>
      </c>
      <c r="AK16" s="40">
        <v>0.438</v>
      </c>
      <c r="AM16" s="64"/>
      <c r="AQ16" s="8"/>
      <c r="AR16" s="8"/>
      <c r="AT16" s="96"/>
    </row>
    <row r="17" spans="1:52" ht="30" customHeight="1" x14ac:dyDescent="0.2">
      <c r="A17" s="5" t="s">
        <v>312</v>
      </c>
      <c r="B17" s="31" t="str">
        <v>Braunkohle (Deutschland)</v>
      </c>
      <c r="C17">
        <v>15</v>
      </c>
      <c r="D17" s="5" t="str">
        <f>'ESU Summary_edit'!B17</f>
        <v>lignite, production DE, at regional storage/DE U</v>
      </c>
      <c r="E17" s="5" t="str">
        <f>CED_edit!B18</f>
        <v>1 kg lignite, production DE, at regional storage/DE U (of project 000 primary energy factors various projects)</v>
      </c>
      <c r="G17" t="s">
        <v>194</v>
      </c>
      <c r="H17" s="30">
        <v>8.3000000000000007</v>
      </c>
      <c r="I17">
        <f>'ESU Summary_edit'!N17</f>
        <v>10.3</v>
      </c>
      <c r="J17" s="5">
        <f>'ESU Summary_edit'!O17</f>
        <v>9.9</v>
      </c>
      <c r="K17" t="s">
        <v>247</v>
      </c>
      <c r="L17" s="30">
        <v>10.3</v>
      </c>
      <c r="M17" s="31" t="s">
        <v>246</v>
      </c>
      <c r="O17">
        <f>110.7*3.6/1000</f>
        <v>0.39852000000000004</v>
      </c>
      <c r="P17" t="s">
        <v>248</v>
      </c>
      <c r="S17" s="8">
        <f>'ESU Summary_edit'!I17</f>
        <v>10.720317818434003</v>
      </c>
      <c r="T17" s="8">
        <f>'ESU Summary_edit'!J17</f>
        <v>10.303994295575</v>
      </c>
      <c r="U17" s="7">
        <f>'ESU Summary_edit'!K17</f>
        <v>2.9413521000000001E-2</v>
      </c>
      <c r="V17" s="7">
        <f>'ESU Summary_edit'!L17</f>
        <v>4.4347638000000002E-2</v>
      </c>
      <c r="Z17" s="8">
        <f t="shared" si="2"/>
        <v>1.0408075551877671</v>
      </c>
      <c r="AA17" s="8">
        <f t="shared" si="0"/>
        <v>1.0408075046035354</v>
      </c>
      <c r="AB17" s="7">
        <f t="shared" si="3"/>
        <v>0.40921582581818183</v>
      </c>
      <c r="AC17" s="7">
        <f t="shared" si="1"/>
        <v>0.41464641381818185</v>
      </c>
      <c r="AD17" s="39"/>
      <c r="AE17" s="39"/>
      <c r="AF17" s="85" t="s">
        <v>449</v>
      </c>
      <c r="AG17" s="85" t="s">
        <v>259</v>
      </c>
      <c r="AH17" s="39"/>
      <c r="AI17" s="12"/>
      <c r="AJ17" s="51">
        <v>1.25</v>
      </c>
      <c r="AK17" s="40">
        <v>0.43099999999999999</v>
      </c>
      <c r="AM17" s="64" t="s">
        <v>409</v>
      </c>
      <c r="AN17" s="9" t="s">
        <v>404</v>
      </c>
      <c r="AO17" s="49">
        <f>AVERAGE(I17:I21)/3.6</f>
        <v>2.8611111111111112</v>
      </c>
      <c r="AP17" s="49">
        <f>AVERAGE(J17:J21)/3.6</f>
        <v>2.75</v>
      </c>
      <c r="AQ17" s="8">
        <f>SUM(Z17:Z21)/5</f>
        <v>1.1549113977596897</v>
      </c>
      <c r="AR17" s="8">
        <f>SUM(AA17:AA21)/5</f>
        <v>1.1545131766431314</v>
      </c>
      <c r="AS17" s="7">
        <f>SUM(AB17:AB21)/5</f>
        <v>0.43509356712727276</v>
      </c>
      <c r="AT17" s="96">
        <f>SUM(AC17:AC21)/5</f>
        <v>0.44442178160000001</v>
      </c>
      <c r="AV17" s="84">
        <f>AQ17/AJ17-1</f>
        <v>-7.6070881792248302E-2</v>
      </c>
      <c r="AW17" s="84">
        <f>AR17/AJ17-1</f>
        <v>-7.638945868549496E-2</v>
      </c>
      <c r="AX17" s="84">
        <f>AS17/AK17-1</f>
        <v>9.4978355621178068E-3</v>
      </c>
      <c r="AY17" s="84">
        <f>AT17/AK17-1</f>
        <v>3.1141024593967614E-2</v>
      </c>
    </row>
    <row r="18" spans="1:52" ht="30" customHeight="1" x14ac:dyDescent="0.2">
      <c r="A18" s="5" t="s">
        <v>313</v>
      </c>
      <c r="B18" s="31" t="str">
        <v>Braunkohle (Polen)</v>
      </c>
      <c r="C18">
        <v>16</v>
      </c>
      <c r="D18" s="5" t="str">
        <f>'ESU Summary_edit'!B18</f>
        <v>lignite, production PO, at regional storage/DE U</v>
      </c>
      <c r="E18" s="5" t="str">
        <f>CED_edit!B19</f>
        <v>1 kg lignite, production PO, at regional storage/DE U (of project 000 primary energy factors various projects)</v>
      </c>
      <c r="G18" t="s">
        <v>194</v>
      </c>
      <c r="H18" s="30">
        <v>8.3000000000000007</v>
      </c>
      <c r="I18">
        <f>'ESU Summary_edit'!N18</f>
        <v>10.3</v>
      </c>
      <c r="J18" s="5">
        <f>'ESU Summary_edit'!O18</f>
        <v>9.9</v>
      </c>
      <c r="K18" t="s">
        <v>247</v>
      </c>
      <c r="L18" s="30">
        <v>20</v>
      </c>
      <c r="M18" s="31" t="s">
        <v>246</v>
      </c>
      <c r="O18">
        <f t="shared" ref="O18:O21" si="6">110.7*3.6/1000</f>
        <v>0.39852000000000004</v>
      </c>
      <c r="P18" t="s">
        <v>248</v>
      </c>
      <c r="S18" s="8">
        <f>'ESU Summary_edit'!I18</f>
        <v>11.014793954630001</v>
      </c>
      <c r="T18" s="8">
        <f>'ESU Summary_edit'!J18</f>
        <v>10.580157237449997</v>
      </c>
      <c r="U18" s="7">
        <f>'ESU Summary_edit'!K18</f>
        <v>5.0578476999999997E-2</v>
      </c>
      <c r="V18" s="7">
        <f>'ESU Summary_edit'!L18</f>
        <v>6.8171658999999996E-2</v>
      </c>
      <c r="Z18" s="8">
        <f t="shared" si="2"/>
        <v>1.069397471323301</v>
      </c>
      <c r="AA18" s="8">
        <f t="shared" si="0"/>
        <v>1.0687027512575755</v>
      </c>
      <c r="AB18" s="7">
        <f t="shared" si="3"/>
        <v>0.41691217345454551</v>
      </c>
      <c r="AC18" s="7">
        <f t="shared" si="1"/>
        <v>0.42330969418181824</v>
      </c>
      <c r="AD18" s="39"/>
      <c r="AE18" s="39"/>
      <c r="AF18" s="85" t="s">
        <v>449</v>
      </c>
      <c r="AG18" s="85" t="s">
        <v>259</v>
      </c>
      <c r="AH18" s="39"/>
      <c r="AI18" s="12"/>
      <c r="AJ18" s="51">
        <v>1.25</v>
      </c>
      <c r="AK18" s="40">
        <v>0.43099999999999999</v>
      </c>
      <c r="AM18" s="64"/>
      <c r="AQ18" s="8"/>
      <c r="AR18" s="8"/>
      <c r="AT18" s="96"/>
    </row>
    <row r="19" spans="1:52" ht="30" customHeight="1" x14ac:dyDescent="0.2">
      <c r="A19" s="5" t="s">
        <v>314</v>
      </c>
      <c r="B19" s="31" t="str">
        <v>Braunkohle (USA)</v>
      </c>
      <c r="C19">
        <v>17</v>
      </c>
      <c r="D19" s="5" t="str">
        <f>'ESU Summary_edit'!B19</f>
        <v>lignite, production US, at regional storage/DE U</v>
      </c>
      <c r="E19" s="5" t="str">
        <f>CED_edit!B20</f>
        <v>1 kg lignite, production US, at regional storage/DE U (of project 000 primary energy factors various projects)</v>
      </c>
      <c r="G19" t="s">
        <v>194</v>
      </c>
      <c r="H19" s="30">
        <v>8.3000000000000007</v>
      </c>
      <c r="I19">
        <f>'ESU Summary_edit'!N19</f>
        <v>10.3</v>
      </c>
      <c r="J19" s="5">
        <f>'ESU Summary_edit'!O19</f>
        <v>9.9</v>
      </c>
      <c r="K19" t="s">
        <v>247</v>
      </c>
      <c r="L19" s="30">
        <v>20</v>
      </c>
      <c r="M19" s="31" t="s">
        <v>246</v>
      </c>
      <c r="O19">
        <f t="shared" si="6"/>
        <v>0.39852000000000004</v>
      </c>
      <c r="P19" t="s">
        <v>248</v>
      </c>
      <c r="S19" s="8">
        <f>'ESU Summary_edit'!I19</f>
        <v>11.941491751770005</v>
      </c>
      <c r="T19" s="8">
        <f>'ESU Summary_edit'!J19</f>
        <v>11.49451827583</v>
      </c>
      <c r="U19" s="7">
        <f>'ESU Summary_edit'!K19</f>
        <v>0.10991257</v>
      </c>
      <c r="V19" s="7">
        <f>'ESU Summary_edit'!L19</f>
        <v>0.13577610000000001</v>
      </c>
      <c r="Z19" s="8">
        <f t="shared" si="2"/>
        <v>1.1593681312398063</v>
      </c>
      <c r="AA19" s="8">
        <f t="shared" si="0"/>
        <v>1.1610624521040405</v>
      </c>
      <c r="AB19" s="7">
        <f t="shared" si="3"/>
        <v>0.4384882072727273</v>
      </c>
      <c r="AC19" s="7">
        <f t="shared" si="1"/>
        <v>0.44789312727272734</v>
      </c>
      <c r="AD19" s="39"/>
      <c r="AE19" s="39"/>
      <c r="AF19" s="85"/>
      <c r="AG19" s="85" t="s">
        <v>259</v>
      </c>
      <c r="AH19" s="39"/>
      <c r="AI19" s="12"/>
      <c r="AJ19" s="51">
        <v>1.25</v>
      </c>
      <c r="AK19" s="40">
        <v>0.43099999999999999</v>
      </c>
      <c r="AM19" s="64"/>
      <c r="AQ19" s="8"/>
      <c r="AR19" s="8"/>
      <c r="AT19" s="96"/>
    </row>
    <row r="20" spans="1:52" ht="30" customHeight="1" x14ac:dyDescent="0.2">
      <c r="A20" s="5" t="s">
        <v>315</v>
      </c>
      <c r="B20" s="31" t="str">
        <v>Braunkohle (China)</v>
      </c>
      <c r="C20">
        <v>18</v>
      </c>
      <c r="D20" s="5" t="str">
        <f>'ESU Summary_edit'!B20</f>
        <v>lignite, production CN, at regional storage/DE U</v>
      </c>
      <c r="E20" s="5" t="str">
        <f>CED_edit!B21</f>
        <v>1 kg lignite, production CN, at regional storage/DE U (of project 000 primary energy factors various projects)</v>
      </c>
      <c r="G20" t="s">
        <v>194</v>
      </c>
      <c r="H20" s="30">
        <v>10.3</v>
      </c>
      <c r="I20">
        <f>'ESU Summary_edit'!N20</f>
        <v>10.3</v>
      </c>
      <c r="J20" s="5">
        <f>'ESU Summary_edit'!O20</f>
        <v>9.9</v>
      </c>
      <c r="K20" t="s">
        <v>247</v>
      </c>
      <c r="L20" s="30">
        <v>20</v>
      </c>
      <c r="M20" s="31" t="s">
        <v>246</v>
      </c>
      <c r="O20">
        <f t="shared" si="6"/>
        <v>0.39852000000000004</v>
      </c>
      <c r="P20" t="s">
        <v>248</v>
      </c>
      <c r="S20" s="8">
        <f>'ESU Summary_edit'!I20</f>
        <v>12.822069757680003</v>
      </c>
      <c r="T20" s="8">
        <f>'ESU Summary_edit'!J20</f>
        <v>12.339481795969999</v>
      </c>
      <c r="U20" s="7">
        <f>'ESU Summary_edit'!K20</f>
        <v>0.17863202</v>
      </c>
      <c r="V20" s="7">
        <f>'ESU Summary_edit'!L20</f>
        <v>0.21892107999999999</v>
      </c>
      <c r="Z20" s="8">
        <f t="shared" si="2"/>
        <v>1.2448611415223303</v>
      </c>
      <c r="AA20" s="8">
        <f t="shared" si="0"/>
        <v>1.2464123026232321</v>
      </c>
      <c r="AB20" s="7">
        <f t="shared" si="3"/>
        <v>0.4634770981818182</v>
      </c>
      <c r="AC20" s="7">
        <f t="shared" si="1"/>
        <v>0.47812766545454549</v>
      </c>
      <c r="AD20" s="39"/>
      <c r="AE20" s="39"/>
      <c r="AF20" s="85"/>
      <c r="AG20" s="85" t="s">
        <v>259</v>
      </c>
      <c r="AH20" s="39"/>
      <c r="AI20" s="12"/>
      <c r="AJ20" s="51">
        <v>1.25</v>
      </c>
      <c r="AK20" s="40">
        <v>0.43099999999999999</v>
      </c>
      <c r="AM20" s="64"/>
      <c r="AQ20" s="8"/>
      <c r="AR20" s="8"/>
      <c r="AT20" s="96"/>
    </row>
    <row r="21" spans="1:52" ht="30" customHeight="1" x14ac:dyDescent="0.2">
      <c r="A21" s="5" t="s">
        <v>316</v>
      </c>
      <c r="B21" s="31" t="str">
        <v>Braunkohle (Russland)</v>
      </c>
      <c r="C21">
        <v>19</v>
      </c>
      <c r="D21" s="5" t="str">
        <f>'ESU Summary_edit'!B21</f>
        <v>lignite, production RU, at regional storage/DE U</v>
      </c>
      <c r="E21" s="5" t="str">
        <f>CED_edit!B22</f>
        <v>1 kg lignite, production RU, at regional storage/DE U (of project 000 primary energy factors various projects)</v>
      </c>
      <c r="G21" t="s">
        <v>194</v>
      </c>
      <c r="H21" s="30">
        <v>10.3</v>
      </c>
      <c r="I21">
        <f>'ESU Summary_edit'!N21</f>
        <v>10.3</v>
      </c>
      <c r="J21" s="5">
        <f>'ESU Summary_edit'!O21</f>
        <v>9.9</v>
      </c>
      <c r="K21" t="s">
        <v>247</v>
      </c>
      <c r="L21" s="30">
        <v>20</v>
      </c>
      <c r="M21" s="31" t="s">
        <v>246</v>
      </c>
      <c r="O21">
        <f t="shared" si="6"/>
        <v>0.39852000000000004</v>
      </c>
      <c r="P21" t="s">
        <v>248</v>
      </c>
      <c r="S21" s="8">
        <f>'ESU Summary_edit'!I21</f>
        <v>12.97926370211</v>
      </c>
      <c r="T21" s="8">
        <f>'ESU Summary_edit'!J21</f>
        <v>12.430250639010001</v>
      </c>
      <c r="U21" s="7">
        <f>'ESU Summary_edit'!K21</f>
        <v>0.13434995999999999</v>
      </c>
      <c r="V21" s="7">
        <f>'ESU Summary_edit'!L21</f>
        <v>0.16393302000000001</v>
      </c>
      <c r="Z21" s="8">
        <f t="shared" si="2"/>
        <v>1.2601226895252426</v>
      </c>
      <c r="AA21" s="8">
        <f t="shared" si="0"/>
        <v>1.2555808726272728</v>
      </c>
      <c r="AB21" s="7">
        <f t="shared" si="3"/>
        <v>0.44737453090909096</v>
      </c>
      <c r="AC21" s="7">
        <f t="shared" si="1"/>
        <v>0.45813200727272729</v>
      </c>
      <c r="AD21" s="39"/>
      <c r="AE21" s="39"/>
      <c r="AF21" s="85"/>
      <c r="AG21" s="85" t="s">
        <v>259</v>
      </c>
      <c r="AH21" s="39"/>
      <c r="AI21" s="12"/>
      <c r="AJ21" s="51">
        <v>1.25</v>
      </c>
      <c r="AK21" s="40">
        <v>0.43099999999999999</v>
      </c>
      <c r="AM21" s="64"/>
      <c r="AQ21" s="8"/>
      <c r="AR21" s="8"/>
      <c r="AT21" s="96"/>
    </row>
    <row r="22" spans="1:52" ht="30" customHeight="1" x14ac:dyDescent="0.2">
      <c r="A22" s="5" t="s">
        <v>317</v>
      </c>
      <c r="B22" s="31" t="str">
        <v>Biogas (Gülle und Reststoffe, direkt aus Biogasanlagen)</v>
      </c>
      <c r="C22">
        <v>20</v>
      </c>
      <c r="D22" s="5" t="str">
        <f>'ESU Summary_edit'!B22</f>
        <v>biogas, production mix, at storage/m3/CH U</v>
      </c>
      <c r="E22" s="5" t="str">
        <f>CED_edit!B23</f>
        <v>1 m3 biogas, production mix, at storage/m3/CH U (of project ESU database 2022 UVEK)</v>
      </c>
      <c r="G22" t="s">
        <v>206</v>
      </c>
      <c r="H22" s="30">
        <v>26.6</v>
      </c>
      <c r="I22">
        <v>26.6</v>
      </c>
      <c r="J22">
        <v>26.6</v>
      </c>
      <c r="K22" t="s">
        <v>247</v>
      </c>
      <c r="S22" s="8">
        <f>'ESU Summary_edit'!I22</f>
        <v>3.3844605409099948</v>
      </c>
      <c r="T22" s="8">
        <f>'ESU Summary_edit'!J22</f>
        <v>3.3644401181799997</v>
      </c>
      <c r="U22" s="7">
        <f>'ESU Summary_edit'!K22</f>
        <v>0.41478690000000001</v>
      </c>
      <c r="V22" s="7">
        <f>'ESU Summary_edit'!L22</f>
        <v>0.74263703999999997</v>
      </c>
      <c r="Y22" s="47">
        <v>1</v>
      </c>
      <c r="Z22" s="8">
        <f>S22/I22+Y22</f>
        <v>1.1272353586808268</v>
      </c>
      <c r="AA22" s="8">
        <f t="shared" ref="AA22:AA50" si="7">T22/J22+Y22</f>
        <v>1.1264827112097744</v>
      </c>
      <c r="AB22" s="7">
        <f t="shared" si="3"/>
        <v>5.6136572932330826E-2</v>
      </c>
      <c r="AC22" s="7">
        <f t="shared" si="1"/>
        <v>0.10050726857142857</v>
      </c>
      <c r="AF22" s="31" t="s">
        <v>457</v>
      </c>
      <c r="AG22" s="31" t="s">
        <v>259</v>
      </c>
      <c r="AJ22" s="51">
        <v>1.738</v>
      </c>
      <c r="AK22" s="40">
        <v>5.6000000000000001E-2</v>
      </c>
      <c r="AM22" s="64" t="s">
        <v>410</v>
      </c>
      <c r="AN22" s="9" t="s">
        <v>411</v>
      </c>
      <c r="AO22" s="49">
        <f>AVERAGE(I22:I23)/3.6</f>
        <v>7.3888888888888893</v>
      </c>
      <c r="AP22" s="49">
        <f>AVERAGE(J22:J23)/3.6</f>
        <v>7.3888888888888893</v>
      </c>
      <c r="AQ22" s="8">
        <f>SUM(Z22:Z23)/2</f>
        <v>1.385102303175</v>
      </c>
      <c r="AR22" s="8">
        <f>SUM(AA22:AA23)/2</f>
        <v>1.3461632192176691</v>
      </c>
      <c r="AS22" s="7">
        <f>SUM(AB22:AB23)/2</f>
        <v>9.5669071578947357E-2</v>
      </c>
      <c r="AT22" s="96">
        <f>SUM(AC22:AC23)/2</f>
        <v>0.16517332827067668</v>
      </c>
      <c r="AV22" s="84">
        <f>AQ22/AJ22-1</f>
        <v>-0.20304815697640965</v>
      </c>
      <c r="AW22" s="84">
        <f>AR22/AJ22-1</f>
        <v>-0.2254526932004205</v>
      </c>
      <c r="AX22" s="84">
        <f>AS22/AK22-1</f>
        <v>0.70837627819548854</v>
      </c>
      <c r="AY22" s="84">
        <f>AT22/AK22-1</f>
        <v>1.9495237191192265</v>
      </c>
      <c r="AZ22" s="31" t="s">
        <v>479</v>
      </c>
    </row>
    <row r="23" spans="1:52" ht="30" customHeight="1" x14ac:dyDescent="0.2">
      <c r="A23" s="5" t="s">
        <v>318</v>
      </c>
      <c r="B23" s="31" t="str">
        <v>Biogas (Mais und Anbaubiomasse, direkt aus Biogasanlagen)</v>
      </c>
      <c r="C23">
        <v>21</v>
      </c>
      <c r="D23" s="5" t="str">
        <f>'ESU Summary_edit'!B23</f>
        <v>biogas, from maize silage, co-digestion, at storage/m3/CH U</v>
      </c>
      <c r="E23" s="5" t="str">
        <f>CED_edit!B24</f>
        <v>1 m3 biogas, from maize silage, co-digestion, at storage/m3/CH U (of project ESU database 2022 UVEK)</v>
      </c>
      <c r="G23" t="s">
        <v>206</v>
      </c>
      <c r="H23" s="30">
        <v>26.6</v>
      </c>
      <c r="I23">
        <v>26.6</v>
      </c>
      <c r="J23">
        <v>26.6</v>
      </c>
      <c r="K23" t="s">
        <v>247</v>
      </c>
      <c r="S23" s="8">
        <f>'ESU Summary_edit'!I23</f>
        <v>43.702981988000005</v>
      </c>
      <c r="T23" s="8">
        <f>'ESU Summary_edit'!J23</f>
        <v>41.651443144199995</v>
      </c>
      <c r="U23" s="7">
        <f>'ESU Summary_edit'!K23</f>
        <v>0.99898938000000004</v>
      </c>
      <c r="V23" s="7">
        <f>'ESU Summary_edit'!L23</f>
        <v>1.6982577000000001</v>
      </c>
      <c r="Z23" s="8">
        <f>S23/I23</f>
        <v>1.6429692476691731</v>
      </c>
      <c r="AA23" s="8">
        <f t="shared" si="7"/>
        <v>1.5658437272255636</v>
      </c>
      <c r="AB23" s="7">
        <f t="shared" si="3"/>
        <v>0.13520157022556389</v>
      </c>
      <c r="AC23" s="7">
        <f t="shared" si="1"/>
        <v>0.22983938796992481</v>
      </c>
      <c r="AF23" s="31" t="s">
        <v>458</v>
      </c>
      <c r="AG23" s="31" t="s">
        <v>259</v>
      </c>
      <c r="AJ23" s="51">
        <v>1.738</v>
      </c>
      <c r="AK23" s="40">
        <v>5.6000000000000001E-2</v>
      </c>
      <c r="AM23" s="64"/>
      <c r="AQ23" s="8"/>
      <c r="AR23" s="8"/>
      <c r="AT23" s="96"/>
    </row>
    <row r="24" spans="1:52" ht="30" customHeight="1" x14ac:dyDescent="0.2">
      <c r="A24" s="5" t="s">
        <v>319</v>
      </c>
      <c r="B24" s="31" t="str">
        <v>Biomethan (Gülle und Reststoffe)</v>
      </c>
      <c r="C24">
        <v>22</v>
      </c>
      <c r="D24" s="5" t="str">
        <f>'ESU Summary_edit'!B24</f>
        <v>methane, 96 vol-%, from biogas, at purification/m3/CH U</v>
      </c>
      <c r="E24" s="5" t="str">
        <f>CED_edit!B25</f>
        <v>1 m3 methane, 96 vol-%, from biogas, at purification/m3/CH U (of project ESU database 2022 UVEK)</v>
      </c>
      <c r="G24" t="s">
        <v>206</v>
      </c>
      <c r="H24" s="30">
        <v>41.6</v>
      </c>
      <c r="I24">
        <v>41.6</v>
      </c>
      <c r="J24">
        <v>41.6</v>
      </c>
      <c r="K24" t="s">
        <v>247</v>
      </c>
      <c r="S24" s="8">
        <f>'ESU Summary_edit'!I24</f>
        <v>11.851363255459962</v>
      </c>
      <c r="T24" s="8">
        <f>'ESU Summary_edit'!J24</f>
        <v>11.469337597199997</v>
      </c>
      <c r="U24" s="7">
        <f>'ESU Summary_edit'!K24</f>
        <v>1.1311431999999999</v>
      </c>
      <c r="V24" s="7">
        <f>'ESU Summary_edit'!L24</f>
        <v>2.2194075</v>
      </c>
      <c r="Y24" s="47">
        <v>1</v>
      </c>
      <c r="Z24" s="8">
        <f>S24/I24+Y24</f>
        <v>1.2848885397947107</v>
      </c>
      <c r="AA24" s="8">
        <f t="shared" si="7"/>
        <v>1.275705230701923</v>
      </c>
      <c r="AB24" s="7">
        <f t="shared" si="3"/>
        <v>9.7887392307692306E-2</v>
      </c>
      <c r="AC24" s="7">
        <f t="shared" si="1"/>
        <v>0.19206411057692307</v>
      </c>
      <c r="AF24" s="31" t="s">
        <v>459</v>
      </c>
      <c r="AG24" s="31" t="s">
        <v>259</v>
      </c>
      <c r="AJ24" s="51">
        <f>AJ23/$I23*$I24</f>
        <v>2.7180751879699248</v>
      </c>
      <c r="AK24" s="40">
        <f>AK23/$I23*$I24</f>
        <v>8.7578947368421048E-2</v>
      </c>
      <c r="AM24" s="64" t="s">
        <v>412</v>
      </c>
      <c r="AN24" s="9" t="s">
        <v>413</v>
      </c>
      <c r="AO24" s="49">
        <f>AVERAGE(I24:I25)/3.6</f>
        <v>11.555555555555555</v>
      </c>
      <c r="AP24" s="49">
        <f>AVERAGE(J24:J25)/3.6</f>
        <v>11.555555555555555</v>
      </c>
      <c r="AQ24" s="8">
        <f>SUM(Z24:Z25)/2</f>
        <v>1.5205561789598552</v>
      </c>
      <c r="AR24" s="8">
        <f>SUM(AA24:AA25)/2</f>
        <v>1.4743049868377405</v>
      </c>
      <c r="AS24" s="7">
        <f>SUM(AB24:AB25)/2</f>
        <v>0.1362619125</v>
      </c>
      <c r="AT24" s="96">
        <f>SUM(AC24:AC25)/2</f>
        <v>0.25483598221153847</v>
      </c>
      <c r="AV24" s="84">
        <f>AQ24/AJ24-1</f>
        <v>-0.44057611588900614</v>
      </c>
      <c r="AW24" s="84">
        <f>AR24/AJ24-1</f>
        <v>-0.45759227214797216</v>
      </c>
      <c r="AX24" s="84">
        <f>AS24/AK24-1</f>
        <v>0.5558752028245193</v>
      </c>
      <c r="AY24" s="84">
        <f>AT24/AK24-1</f>
        <v>1.9097858545788648</v>
      </c>
      <c r="AZ24" s="31" t="s">
        <v>480</v>
      </c>
    </row>
    <row r="25" spans="1:52" ht="30" customHeight="1" x14ac:dyDescent="0.2">
      <c r="A25" s="5" t="s">
        <v>320</v>
      </c>
      <c r="B25" s="31" t="str">
        <v>Biomethan (Mais und Anbaubiomasse)</v>
      </c>
      <c r="C25">
        <v>23</v>
      </c>
      <c r="D25" s="5" t="str">
        <f>'ESU Summary_edit'!B25</f>
        <v>methane, 96 vol-%, from biogas, from maize silage, at purification/m3/RER U</v>
      </c>
      <c r="E25" s="5" t="str">
        <f>CED_edit!B26</f>
        <v>1 m3 methane, 96 vol-%, from biogas, from maize silage, at purification/m3/RER U (of project 000 primary energy factors various projects)</v>
      </c>
      <c r="G25" t="s">
        <v>206</v>
      </c>
      <c r="H25" s="30">
        <v>41.6</v>
      </c>
      <c r="I25">
        <v>41.6</v>
      </c>
      <c r="J25">
        <v>41.6</v>
      </c>
      <c r="K25" t="s">
        <v>247</v>
      </c>
      <c r="S25" s="8">
        <f>'ESU Summary_edit'!I25</f>
        <v>73.058910833999988</v>
      </c>
      <c r="T25" s="8">
        <f>'ESU Summary_edit'!J25</f>
        <v>69.592837307700009</v>
      </c>
      <c r="U25" s="7">
        <f>'ESU Summary_edit'!K25</f>
        <v>2.0180210000000001</v>
      </c>
      <c r="V25" s="7">
        <f>'ESU Summary_edit'!L25</f>
        <v>3.6701351999999998</v>
      </c>
      <c r="Z25" s="8">
        <f>S25/I25</f>
        <v>1.7562238181249996</v>
      </c>
      <c r="AA25" s="8">
        <f t="shared" si="7"/>
        <v>1.672904742973558</v>
      </c>
      <c r="AB25" s="7">
        <f t="shared" si="3"/>
        <v>0.17463643269230769</v>
      </c>
      <c r="AC25" s="7">
        <f t="shared" si="1"/>
        <v>0.31760785384615381</v>
      </c>
      <c r="AF25" s="31" t="s">
        <v>456</v>
      </c>
      <c r="AG25" s="31" t="s">
        <v>259</v>
      </c>
      <c r="AJ25" s="51">
        <f>AJ24/$I24*$I25</f>
        <v>2.7180751879699248</v>
      </c>
      <c r="AK25" s="40">
        <f>AK24/$I24*$I25</f>
        <v>8.7578947368421048E-2</v>
      </c>
      <c r="AM25" s="64"/>
      <c r="AQ25" s="8"/>
      <c r="AR25" s="8"/>
      <c r="AT25" s="96"/>
    </row>
    <row r="26" spans="1:52" ht="63" customHeight="1" x14ac:dyDescent="0.2">
      <c r="A26" s="5" t="s">
        <v>461</v>
      </c>
      <c r="B26" s="31" t="str">
        <v>Bioöl (Rapsöl)</v>
      </c>
      <c r="C26">
        <v>24</v>
      </c>
      <c r="D26" s="5" t="str">
        <f>'ESU Summary_edit'!B26</f>
        <v>rape oil, at regional storage/CH U</v>
      </c>
      <c r="E26" s="5" t="str">
        <f>CED_edit!B27</f>
        <v>1 kg Rape oil, at regional storage/CH U (of project ESU database 2022 UVEK)</v>
      </c>
      <c r="G26" t="s">
        <v>194</v>
      </c>
      <c r="H26" s="30">
        <v>40.5</v>
      </c>
      <c r="I26">
        <v>40.5</v>
      </c>
      <c r="J26">
        <v>40.5</v>
      </c>
      <c r="K26" t="s">
        <v>247</v>
      </c>
      <c r="S26" s="8">
        <f>'ESU Summary_edit'!I26</f>
        <v>66.790150982599982</v>
      </c>
      <c r="T26" s="8">
        <f>'ESU Summary_edit'!J26</f>
        <v>63.811195981799997</v>
      </c>
      <c r="U26" s="7">
        <f>'ESU Summary_edit'!K26</f>
        <v>2.4007455000000002</v>
      </c>
      <c r="V26" s="7">
        <f>'ESU Summary_edit'!L26</f>
        <v>2.5457412000000001</v>
      </c>
      <c r="Z26" s="8">
        <f>S26/I26</f>
        <v>1.6491395304345675</v>
      </c>
      <c r="AA26" s="8">
        <f t="shared" si="7"/>
        <v>1.5755850859703704</v>
      </c>
      <c r="AB26" s="7">
        <f t="shared" si="3"/>
        <v>0.21339960000000002</v>
      </c>
      <c r="AC26" s="7">
        <f t="shared" si="1"/>
        <v>0.22628810666666668</v>
      </c>
      <c r="AF26" s="31" t="s">
        <v>462</v>
      </c>
      <c r="AG26" s="31" t="s">
        <v>259</v>
      </c>
      <c r="AJ26" s="51">
        <v>1.1000000000000001</v>
      </c>
      <c r="AK26" s="40">
        <v>4.9000000000000002E-2</v>
      </c>
      <c r="AM26" s="64" t="s">
        <v>414</v>
      </c>
      <c r="AN26" s="9" t="s">
        <v>415</v>
      </c>
      <c r="AO26" s="49">
        <f>AVERAGE(I26:I27)/3.6</f>
        <v>11.25</v>
      </c>
      <c r="AP26" s="49">
        <f>AVERAGE(J26:J27)/3.6</f>
        <v>11.25</v>
      </c>
      <c r="AQ26" s="8">
        <f>SUM(Z26:Z27)/2</f>
        <v>1.824962506809876</v>
      </c>
      <c r="AR26" s="8">
        <f>SUM(AA26:AA27)/2</f>
        <v>1.7404931248617284</v>
      </c>
      <c r="AS26" s="7">
        <f>SUM(AB26:AB27)/2</f>
        <v>0.18769445333333334</v>
      </c>
      <c r="AT26" s="96">
        <f>SUM(AC26:AC27)/2</f>
        <v>0.20114676000000001</v>
      </c>
      <c r="AV26" s="84">
        <f>AQ26/AJ26-1</f>
        <v>0.65905682437261448</v>
      </c>
      <c r="AW26" s="84">
        <f>AR26/AJ26-1</f>
        <v>0.58226647714702562</v>
      </c>
      <c r="AX26" s="84">
        <f>AS26/AK26-1</f>
        <v>2.8304990476190479</v>
      </c>
      <c r="AY26" s="84">
        <f>AT26/AK26-1</f>
        <v>3.1050359183673466</v>
      </c>
      <c r="AZ26" s="31" t="s">
        <v>480</v>
      </c>
    </row>
    <row r="27" spans="1:52" ht="75" customHeight="1" x14ac:dyDescent="0.2">
      <c r="A27" s="5" t="s">
        <v>460</v>
      </c>
      <c r="B27" s="31" t="str">
        <v>Bioöl (Palmöl)</v>
      </c>
      <c r="C27">
        <v>25</v>
      </c>
      <c r="D27" s="5" t="str">
        <f>'ESU Summary_edit'!B27</f>
        <v>palm oil, at regional storage/CH U</v>
      </c>
      <c r="E27" s="5" t="str">
        <f>CED_edit!B28</f>
        <v>1 kg palm oil, at regional storage/CH U (of project 000 primary energy factors various projects)</v>
      </c>
      <c r="G27" t="s">
        <v>194</v>
      </c>
      <c r="H27" s="30">
        <v>40.5</v>
      </c>
      <c r="I27">
        <v>40.5</v>
      </c>
      <c r="J27">
        <v>40.5</v>
      </c>
      <c r="K27" t="s">
        <v>247</v>
      </c>
      <c r="S27" s="8">
        <f>'ESU Summary_edit'!I27</f>
        <v>81.031812068999983</v>
      </c>
      <c r="T27" s="8">
        <f>'ESU Summary_edit'!J27</f>
        <v>77.168747131999993</v>
      </c>
      <c r="U27" s="7">
        <f>'ESU Summary_edit'!K27</f>
        <v>1.8223796999999999</v>
      </c>
      <c r="V27" s="7">
        <f>'ESU Summary_edit'!L27</f>
        <v>1.9800609</v>
      </c>
      <c r="Z27" s="8">
        <f>S27/I27</f>
        <v>2.0007854831851848</v>
      </c>
      <c r="AA27" s="8">
        <f t="shared" si="7"/>
        <v>1.9054011637530863</v>
      </c>
      <c r="AB27" s="7">
        <f t="shared" si="3"/>
        <v>0.16198930666666667</v>
      </c>
      <c r="AC27" s="7">
        <f t="shared" si="1"/>
        <v>0.17600541333333333</v>
      </c>
      <c r="AF27" s="31" t="s">
        <v>462</v>
      </c>
      <c r="AG27" s="31" t="s">
        <v>259</v>
      </c>
      <c r="AJ27" s="51">
        <v>1.1000000000000001</v>
      </c>
      <c r="AK27" s="40">
        <v>3.9E-2</v>
      </c>
      <c r="AM27" s="64"/>
      <c r="AQ27" s="8"/>
      <c r="AR27" s="8"/>
      <c r="AT27" s="96"/>
    </row>
    <row r="28" spans="1:52" ht="58" customHeight="1" x14ac:dyDescent="0.2">
      <c r="A28" s="5" t="s">
        <v>323</v>
      </c>
      <c r="B28" s="31" t="str">
        <v>Holz - Hackschnitzel (Anbaubiomasse)</v>
      </c>
      <c r="C28">
        <v>26</v>
      </c>
      <c r="D28" s="5" t="str">
        <f>'ESU Summary_edit'!B28</f>
        <v>wood chips, production mix, wet, measured as dry mass, at forest road &amp; at sawmill/kg/RER</v>
      </c>
      <c r="E28" s="5" t="str">
        <f>CED_edit!B29</f>
        <v>1 kg wood chips, production mix, wet, measured as dry mass, at forest road &amp; at sawmill/kg/RER (of project ESU database 2022 UVEK)</v>
      </c>
      <c r="G28" t="s">
        <v>194</v>
      </c>
      <c r="H28" s="30">
        <v>20.100000000000001</v>
      </c>
      <c r="I28">
        <v>20.100000000000001</v>
      </c>
      <c r="J28">
        <v>20.100000000000001</v>
      </c>
      <c r="K28" t="s">
        <v>247</v>
      </c>
      <c r="S28" s="8">
        <f>'ESU Summary_edit'!I28</f>
        <v>21.644896889029997</v>
      </c>
      <c r="T28" s="8">
        <f>'ESU Summary_edit'!J28</f>
        <v>20.620597918369999</v>
      </c>
      <c r="U28" s="7">
        <f>'ESU Summary_edit'!K28</f>
        <v>3.7261176999999999E-2</v>
      </c>
      <c r="V28" s="7">
        <f>'ESU Summary_edit'!L28</f>
        <v>4.3785818999999997E-2</v>
      </c>
      <c r="Z28" s="8">
        <f>S28/I28</f>
        <v>1.0768605417427859</v>
      </c>
      <c r="AA28" s="8">
        <f t="shared" si="7"/>
        <v>1.0259003939487561</v>
      </c>
      <c r="AB28" s="7">
        <f t="shared" si="3"/>
        <v>6.6736436417910439E-3</v>
      </c>
      <c r="AC28" s="7">
        <f t="shared" si="1"/>
        <v>7.8422362388059687E-3</v>
      </c>
      <c r="AF28" s="31" t="s">
        <v>451</v>
      </c>
      <c r="AG28" s="31" t="s">
        <v>259</v>
      </c>
      <c r="AJ28" s="51">
        <v>1.1000000000000001</v>
      </c>
      <c r="AK28" s="40">
        <v>2.7E-2</v>
      </c>
      <c r="AM28" s="64" t="s">
        <v>416</v>
      </c>
      <c r="AN28" s="9" t="s">
        <v>417</v>
      </c>
      <c r="AO28" s="49">
        <f>((I28+I30)/3.6+5.66)/3</f>
        <v>5.608888888888889</v>
      </c>
      <c r="AP28" s="49">
        <f>((J28+J30)/3.6+5.66)/3</f>
        <v>5.7014814814814825</v>
      </c>
      <c r="AQ28" s="8">
        <f>SUM(Z28:Z30)/3</f>
        <v>1.147023695186993</v>
      </c>
      <c r="AR28" s="8">
        <f>SUM(AA28:AA30)/3</f>
        <v>1.117683153619309</v>
      </c>
      <c r="AS28" s="7">
        <f>SUM(AB28:AB30)/3</f>
        <v>6.8974411277135618E-3</v>
      </c>
      <c r="AT28" s="96">
        <f>SUM(AC28:AC30)/3</f>
        <v>7.6156764112812756E-3</v>
      </c>
      <c r="AV28" s="84">
        <f>AQ28/AJ28-1</f>
        <v>4.27488138063572E-2</v>
      </c>
      <c r="AW28" s="84">
        <f>AR28/AJ28-1</f>
        <v>1.6075594199371768E-2</v>
      </c>
      <c r="AX28" s="84">
        <f>AS28/AK28-1</f>
        <v>-0.74453921749209029</v>
      </c>
      <c r="AY28" s="84">
        <f>AT28/AK28-1</f>
        <v>-0.71793791069328616</v>
      </c>
      <c r="AZ28" s="31" t="s">
        <v>481</v>
      </c>
    </row>
    <row r="29" spans="1:52" ht="30" customHeight="1" x14ac:dyDescent="0.2">
      <c r="A29" s="5" t="s">
        <v>324</v>
      </c>
      <c r="B29" s="31" t="str">
        <v>Holz - Hackschnitzel (Restholz)</v>
      </c>
      <c r="C29">
        <v>27</v>
      </c>
      <c r="D29" s="5" t="str">
        <f>'ESU Summary_edit'!B29</f>
        <v>waste wood chips, mixed, from industry, u=40%, at plant/CH U</v>
      </c>
      <c r="E29" s="5" t="str">
        <f>CED_edit!B30</f>
        <v>1 m3 Waste wood chips, mixed, from industry, u=40%, at plant/CH U (of project ESU database 2022 UVEK)</v>
      </c>
      <c r="G29" t="s">
        <v>206</v>
      </c>
      <c r="H29" s="30">
        <f>5.66*3.6*188.6</f>
        <v>3842.9136000000003</v>
      </c>
      <c r="I29">
        <f>5.66*3.6*188.6</f>
        <v>3842.9136000000003</v>
      </c>
      <c r="J29">
        <f>5.66*3.6*188.6</f>
        <v>3842.9136000000003</v>
      </c>
      <c r="K29" t="s">
        <v>247</v>
      </c>
      <c r="S29" s="8">
        <f>'ESU Summary_edit'!I29</f>
        <v>85.465372085000283</v>
      </c>
      <c r="T29" s="8">
        <f>'ESU Summary_edit'!J29</f>
        <v>81.792424602000011</v>
      </c>
      <c r="U29" s="7">
        <f>'ESU Summary_edit'!K29</f>
        <v>4.4600451999999997</v>
      </c>
      <c r="V29" s="7">
        <f>'ESU Summary_edit'!L29</f>
        <v>5.1159471999999999</v>
      </c>
      <c r="W29" s="5" t="s">
        <v>194</v>
      </c>
      <c r="Y29" s="47">
        <v>1</v>
      </c>
      <c r="Z29" s="8">
        <f>S29/I29+Y29</f>
        <v>1.0222397329164519</v>
      </c>
      <c r="AA29" s="8">
        <f t="shared" si="7"/>
        <v>1.0212839613677498</v>
      </c>
      <c r="AB29" s="7">
        <f t="shared" si="3"/>
        <v>4.178122224761961E-3</v>
      </c>
      <c r="AC29" s="7">
        <f t="shared" si="1"/>
        <v>4.7925641419572897E-3</v>
      </c>
      <c r="AF29" s="31" t="s">
        <v>450</v>
      </c>
      <c r="AG29" s="31" t="s">
        <v>259</v>
      </c>
      <c r="AJ29" s="51">
        <v>1.1000000000000001</v>
      </c>
      <c r="AK29" s="40">
        <v>2.7E-2</v>
      </c>
      <c r="AM29" s="64"/>
      <c r="AQ29" s="8"/>
      <c r="AR29" s="8"/>
      <c r="AT29" s="96"/>
    </row>
    <row r="30" spans="1:52" ht="77" customHeight="1" x14ac:dyDescent="0.2">
      <c r="A30" s="5" t="s">
        <v>325</v>
      </c>
      <c r="B30" s="31" t="str">
        <v>Holz - Hackschnitzel (Kanada, Anbaubiomasse)</v>
      </c>
      <c r="C30">
        <v>28</v>
      </c>
      <c r="D30" s="5" t="str">
        <f>'ESU Summary_edit'!B30</f>
        <v>wood chips, wet, measured as dry mass {CA-QC}| market for wood chips, wet, measured as dry mass | Cut-off, U</v>
      </c>
      <c r="E30" s="5" t="str">
        <f>CED_edit!B31</f>
        <v>1 kg Wood chips, wet, measured as dry mass {CA-QC}| market for wood chips, wet, measured as dry mass | Cut-off, U (of project Ecoinvent 3 - allocation, cut-off by classification - unit)</v>
      </c>
      <c r="G30" t="s">
        <v>194</v>
      </c>
      <c r="H30" s="30">
        <v>20.100000000000001</v>
      </c>
      <c r="I30">
        <v>20.100000000000001</v>
      </c>
      <c r="J30">
        <v>21.1</v>
      </c>
      <c r="K30" t="s">
        <v>247</v>
      </c>
      <c r="S30" s="8">
        <f>'ESU Summary_edit'!I30</f>
        <v>6.8736132991249992</v>
      </c>
      <c r="T30" s="8">
        <f>'ESU Summary_edit'!J30</f>
        <v>6.4537537269239991</v>
      </c>
      <c r="U30" s="7">
        <f>'ESU Summary_edit'!K30</f>
        <v>5.7676601000000001E-2</v>
      </c>
      <c r="V30" s="7">
        <f>'ESU Summary_edit'!L30</f>
        <v>5.9855008000000001E-2</v>
      </c>
      <c r="Y30" s="47">
        <v>1</v>
      </c>
      <c r="Z30" s="8">
        <f>S30/I30+Y30</f>
        <v>1.3419708109017412</v>
      </c>
      <c r="AA30" s="8">
        <f t="shared" si="7"/>
        <v>1.3058651055414217</v>
      </c>
      <c r="AB30" s="7">
        <f t="shared" si="3"/>
        <v>9.8405575165876769E-3</v>
      </c>
      <c r="AC30" s="7">
        <f t="shared" si="1"/>
        <v>1.0212228853080568E-2</v>
      </c>
      <c r="AF30" s="31" t="s">
        <v>451</v>
      </c>
      <c r="AG30" s="31" t="s">
        <v>259</v>
      </c>
      <c r="AJ30" s="51">
        <v>1.1000000000000001</v>
      </c>
      <c r="AK30" s="40">
        <v>2.7E-2</v>
      </c>
      <c r="AM30" s="64"/>
      <c r="AQ30" s="8"/>
      <c r="AR30" s="8"/>
      <c r="AT30" s="96"/>
    </row>
    <row r="31" spans="1:52" ht="58" customHeight="1" x14ac:dyDescent="0.2">
      <c r="A31" s="5" t="s">
        <v>326</v>
      </c>
      <c r="B31" s="31" t="str">
        <v>Holz - Pellets (Restholz)</v>
      </c>
      <c r="C31">
        <v>29</v>
      </c>
      <c r="D31" s="5" t="str">
        <f>'ESU Summary_edit'!B31</f>
        <v>wood pellet, from wastewood, measured as dry mass, at plant/kg/RER</v>
      </c>
      <c r="E31" s="5" t="str">
        <f>CED_edit!B32</f>
        <v>1 kg wood pellet, from wastewood, measured as dry mass, at plant/kg/RER (of project 000 primary energy factors various projects)</v>
      </c>
      <c r="G31" t="s">
        <v>194</v>
      </c>
      <c r="H31" s="30">
        <f t="shared" ref="H31:J32" si="8">5.4*3.6</f>
        <v>19.440000000000001</v>
      </c>
      <c r="I31">
        <f t="shared" si="8"/>
        <v>19.440000000000001</v>
      </c>
      <c r="J31">
        <f t="shared" si="8"/>
        <v>19.440000000000001</v>
      </c>
      <c r="K31" t="s">
        <v>247</v>
      </c>
      <c r="L31" s="30">
        <f>18*1.1</f>
        <v>19.8</v>
      </c>
      <c r="M31" s="31" t="s">
        <v>246</v>
      </c>
      <c r="S31" s="8">
        <f>'ESU Summary_edit'!I31</f>
        <v>2.3350012124599986</v>
      </c>
      <c r="T31" s="8">
        <f>'ESU Summary_edit'!J31</f>
        <v>2.2311510401499999</v>
      </c>
      <c r="U31" s="7">
        <f>'ESU Summary_edit'!K31</f>
        <v>9.7286948999999998E-2</v>
      </c>
      <c r="V31" s="7">
        <f>'ESU Summary_edit'!L31</f>
        <v>0.11196376</v>
      </c>
      <c r="Y31" s="47">
        <v>1</v>
      </c>
      <c r="Z31" s="8">
        <f>S31/I31+Y31</f>
        <v>1.1201132310936213</v>
      </c>
      <c r="AA31" s="8">
        <f t="shared" si="7"/>
        <v>1.1147711440406378</v>
      </c>
      <c r="AB31" s="7">
        <f t="shared" si="3"/>
        <v>1.8016101666666666E-2</v>
      </c>
      <c r="AC31" s="7">
        <f t="shared" si="1"/>
        <v>2.0734029629629627E-2</v>
      </c>
      <c r="AG31" s="31" t="s">
        <v>259</v>
      </c>
      <c r="AJ31" s="51">
        <v>1.1000000000000001</v>
      </c>
      <c r="AK31" s="40">
        <v>2.7E-2</v>
      </c>
      <c r="AM31" s="64" t="s">
        <v>418</v>
      </c>
      <c r="AN31" s="9" t="s">
        <v>419</v>
      </c>
      <c r="AO31" s="49">
        <f>I31/3.6</f>
        <v>5.4</v>
      </c>
      <c r="AP31" s="49">
        <f>J31/3.6</f>
        <v>5.4</v>
      </c>
      <c r="AQ31" s="8">
        <f>SUM(Z31:Z32)/2</f>
        <v>1.1770146387510285</v>
      </c>
      <c r="AR31" s="8">
        <f>SUM(AA31:AA32)/2</f>
        <v>1.145116794014146</v>
      </c>
      <c r="AS31" s="7">
        <f>SUM(AB31:AB32)/2</f>
        <v>1.9922022129629631E-2</v>
      </c>
      <c r="AT31" s="96">
        <f>SUM(AC31:AC32)/2</f>
        <v>2.2920037037037034E-2</v>
      </c>
      <c r="AV31" s="84">
        <f>AQ31/AJ31-1</f>
        <v>7.0013307955480331E-2</v>
      </c>
      <c r="AW31" s="84">
        <f t="shared" ref="AW31:AX33" si="9">AR31/AJ31-1</f>
        <v>4.1015267285587242E-2</v>
      </c>
      <c r="AX31" s="84">
        <f t="shared" si="9"/>
        <v>-0.26214732853223588</v>
      </c>
      <c r="AY31" s="84">
        <f>AT31/AK31-1</f>
        <v>-0.15110973936899874</v>
      </c>
      <c r="AZ31" s="31" t="s">
        <v>481</v>
      </c>
    </row>
    <row r="32" spans="1:52" ht="30" customHeight="1" x14ac:dyDescent="0.2">
      <c r="A32" s="5" t="s">
        <v>327</v>
      </c>
      <c r="B32" s="31" t="str">
        <v>Holz - Pellets (Anbaubiomasse)</v>
      </c>
      <c r="C32">
        <v>30</v>
      </c>
      <c r="D32" s="5" t="str">
        <f>'ESU Summary_edit'!B32</f>
        <v>wood pellet, measured as dry mass, at plant/kg/RER</v>
      </c>
      <c r="E32" s="5" t="str">
        <f>CED_edit!B33</f>
        <v>1 kg wood pellet, measured as dry mass, at plant/kg/RER (of project ESU database 2022 UVEK)</v>
      </c>
      <c r="G32" t="s">
        <v>194</v>
      </c>
      <c r="H32" s="30">
        <f t="shared" si="8"/>
        <v>19.440000000000001</v>
      </c>
      <c r="I32">
        <f t="shared" si="8"/>
        <v>19.440000000000001</v>
      </c>
      <c r="J32">
        <f t="shared" si="8"/>
        <v>19.440000000000001</v>
      </c>
      <c r="K32" t="s">
        <v>247</v>
      </c>
      <c r="L32" s="30">
        <f>18*1.1</f>
        <v>19.8</v>
      </c>
      <c r="M32" s="31" t="s">
        <v>246</v>
      </c>
      <c r="S32" s="8">
        <f>'ESU Summary_edit'!I32</f>
        <v>23.987327942179991</v>
      </c>
      <c r="T32" s="8">
        <f>'ESU Summary_edit'!J32</f>
        <v>22.850989911119999</v>
      </c>
      <c r="U32" s="7">
        <f>'ESU Summary_edit'!K32</f>
        <v>0.11787089000000001</v>
      </c>
      <c r="V32" s="7">
        <f>'ESU Summary_edit'!L32</f>
        <v>0.13557263999999999</v>
      </c>
      <c r="Z32" s="8">
        <f t="shared" ref="Z32:Z40" si="10">S32/I32</f>
        <v>1.2339160464084358</v>
      </c>
      <c r="AA32" s="8">
        <f t="shared" si="7"/>
        <v>1.1754624439876542</v>
      </c>
      <c r="AB32" s="7">
        <f t="shared" si="3"/>
        <v>2.1827942592592593E-2</v>
      </c>
      <c r="AC32" s="7">
        <f t="shared" si="1"/>
        <v>2.5106044444444441E-2</v>
      </c>
      <c r="AG32" s="31" t="s">
        <v>259</v>
      </c>
      <c r="AJ32" s="51">
        <v>1.1000000000000001</v>
      </c>
      <c r="AK32" s="40">
        <v>2.7E-2</v>
      </c>
      <c r="AM32" s="64" t="s">
        <v>420</v>
      </c>
      <c r="AN32" s="9" t="s">
        <v>421</v>
      </c>
      <c r="AO32" s="49">
        <f>AVERAGE(AO28:AO31)</f>
        <v>5.5044444444444451</v>
      </c>
      <c r="AP32" s="49">
        <f>AVERAGE(AP28:AP31)</f>
        <v>5.550740740740741</v>
      </c>
      <c r="AQ32" s="8">
        <f>SUM(Z28:Z32)/5</f>
        <v>1.1590200726126072</v>
      </c>
      <c r="AR32" s="8">
        <f>SUM(AA28:AA32)/5</f>
        <v>1.1286566097772437</v>
      </c>
      <c r="AS32" s="7">
        <f>SUM(AB28:AB32)/5</f>
        <v>1.2107273528479989E-2</v>
      </c>
      <c r="AT32" s="96">
        <f>SUM(AC28:AC32)/5</f>
        <v>1.3737420661583576E-2</v>
      </c>
      <c r="AV32" s="84">
        <f>AQ32/AJ32-1</f>
        <v>5.3654611466006363E-2</v>
      </c>
      <c r="AW32" s="84">
        <f t="shared" si="9"/>
        <v>2.605146343385778E-2</v>
      </c>
      <c r="AX32" s="84">
        <f t="shared" si="9"/>
        <v>-0.55158246190814864</v>
      </c>
      <c r="AY32" s="84">
        <f>AT32/AK32-1</f>
        <v>-0.49120664216357124</v>
      </c>
      <c r="AZ32" s="31" t="s">
        <v>481</v>
      </c>
    </row>
    <row r="33" spans="1:52" ht="94" customHeight="1" x14ac:dyDescent="0.2">
      <c r="A33" s="5" t="s">
        <v>328</v>
      </c>
      <c r="B33" s="31" t="str">
        <v>Grüner Wasserstoff (aus PV / Windstrom - zum Vergleich)</v>
      </c>
      <c r="C33">
        <v>31</v>
      </c>
      <c r="D33" s="5" t="str">
        <f>'ESU Summary_edit'!B33</f>
        <v>hydrogen, liquid, from water electrolysis, renewable electricity, at plant/DE U</v>
      </c>
      <c r="E33" s="5" t="str">
        <f>CED_edit!B34</f>
        <v>1 kg Hydrogen, liquid, from water electrolysis, renewable electricity, at plant/DE U (of project 000 primary energy factors various projects)</v>
      </c>
      <c r="G33" t="s">
        <v>194</v>
      </c>
      <c r="H33" s="30">
        <v>141.80000000000001</v>
      </c>
      <c r="I33">
        <v>141.80000000000001</v>
      </c>
      <c r="J33">
        <v>141.80000000000001</v>
      </c>
      <c r="K33" t="s">
        <v>246</v>
      </c>
      <c r="L33" s="30">
        <v>141.80000000000001</v>
      </c>
      <c r="M33" s="31" t="s">
        <v>246</v>
      </c>
      <c r="S33" s="8">
        <f>'ESU Summary_edit'!I33</f>
        <v>248.67434206670131</v>
      </c>
      <c r="T33" s="8">
        <f>'ESU Summary_edit'!J33</f>
        <v>233.47444307160001</v>
      </c>
      <c r="U33" s="7">
        <f>'ESU Summary_edit'!K33</f>
        <v>1.9296698999999999</v>
      </c>
      <c r="V33" s="7">
        <f>'ESU Summary_edit'!L33</f>
        <v>2.1606060999999999</v>
      </c>
      <c r="Z33" s="8">
        <f t="shared" si="10"/>
        <v>1.7536977578751853</v>
      </c>
      <c r="AA33" s="8">
        <f t="shared" si="7"/>
        <v>1.6465052402792666</v>
      </c>
      <c r="AB33" s="7">
        <f t="shared" si="3"/>
        <v>4.89902090267983E-2</v>
      </c>
      <c r="AC33" s="7">
        <f t="shared" si="1"/>
        <v>5.4853187306064873E-2</v>
      </c>
      <c r="AG33" s="31" t="s">
        <v>259</v>
      </c>
      <c r="AJ33" s="51">
        <f>1/0.7</f>
        <v>1.4285714285714286</v>
      </c>
      <c r="AK33" s="40">
        <f>AK36/0.7</f>
        <v>8.7142857142857147E-2</v>
      </c>
      <c r="AM33" s="64" t="s">
        <v>263</v>
      </c>
      <c r="AN33" s="9" t="s">
        <v>352</v>
      </c>
      <c r="AO33" s="49">
        <f>I33/3.6</f>
        <v>39.388888888888893</v>
      </c>
      <c r="AP33" s="49">
        <f>J33/3.6</f>
        <v>39.388888888888893</v>
      </c>
      <c r="AQ33" s="8">
        <f>Z33</f>
        <v>1.7536977578751853</v>
      </c>
      <c r="AR33" s="8">
        <f>AA33</f>
        <v>1.6465052402792666</v>
      </c>
      <c r="AS33" s="7">
        <f>AB33</f>
        <v>4.89902090267983E-2</v>
      </c>
      <c r="AT33" s="96">
        <f>AC33</f>
        <v>5.4853187306064873E-2</v>
      </c>
      <c r="AV33" s="84">
        <f>AQ33/AJ33-1</f>
        <v>0.22758843051262967</v>
      </c>
      <c r="AW33" s="84">
        <f t="shared" si="9"/>
        <v>0.15255366819548666</v>
      </c>
      <c r="AX33" s="84">
        <f t="shared" si="9"/>
        <v>-0.43781727346297039</v>
      </c>
      <c r="AY33" s="84">
        <f>AT33/AK33-1</f>
        <v>-0.37053719484843595</v>
      </c>
      <c r="AZ33" s="31" t="s">
        <v>477</v>
      </c>
    </row>
    <row r="34" spans="1:52" s="56" customFormat="1" ht="72" customHeight="1" x14ac:dyDescent="0.2">
      <c r="A34" s="10" t="s">
        <v>329</v>
      </c>
      <c r="B34" s="52" t="str">
        <v>Blauer Wasserstoff (aus Erdölraffinerie, nicht weiter spezifiziert) - alt</v>
      </c>
      <c r="C34" s="56">
        <v>32</v>
      </c>
      <c r="D34" s="10" t="str">
        <f>'ESU Summary_edit'!B34</f>
        <v>hydrogen, cracking, APME, at plant/RER U</v>
      </c>
      <c r="E34" s="10" t="str">
        <f>CED_edit!B35</f>
        <v>1 kg Hydrogen, cracking, APME, at plant/RER U (of project ESU database 2022 UVEK)</v>
      </c>
      <c r="F34" s="86"/>
      <c r="G34" s="56" t="s">
        <v>194</v>
      </c>
      <c r="H34" s="87">
        <v>141.80000000000001</v>
      </c>
      <c r="I34" s="56">
        <v>141.80000000000001</v>
      </c>
      <c r="J34" s="56">
        <v>141.80000000000001</v>
      </c>
      <c r="K34" s="56" t="s">
        <v>246</v>
      </c>
      <c r="L34" s="87">
        <v>141.80000000000001</v>
      </c>
      <c r="M34" s="52" t="s">
        <v>246</v>
      </c>
      <c r="R34" s="10"/>
      <c r="S34" s="54">
        <f>'ESU Summary_edit'!I34</f>
        <v>71.037892091278593</v>
      </c>
      <c r="T34" s="54">
        <f>'ESU Summary_edit'!J34</f>
        <v>72.528757012190098</v>
      </c>
      <c r="U34" s="55">
        <f>'ESU Summary_edit'!K34</f>
        <v>1.7874544999999999</v>
      </c>
      <c r="V34" s="55">
        <f>'ESU Summary_edit'!L34</f>
        <v>2.7442655999999999</v>
      </c>
      <c r="W34" s="10"/>
      <c r="Y34" s="88"/>
      <c r="Z34" s="54">
        <f t="shared" si="10"/>
        <v>0.50097244070013103</v>
      </c>
      <c r="AA34" s="54">
        <f t="shared" si="7"/>
        <v>0.51148629768822351</v>
      </c>
      <c r="AB34" s="55">
        <f t="shared" si="3"/>
        <v>4.5379662905500696E-2</v>
      </c>
      <c r="AC34" s="55">
        <f t="shared" si="1"/>
        <v>6.9671058956276441E-2</v>
      </c>
      <c r="AD34" s="52"/>
      <c r="AE34" s="52"/>
      <c r="AF34" s="52" t="s">
        <v>463</v>
      </c>
      <c r="AG34" s="52" t="s">
        <v>760</v>
      </c>
      <c r="AH34" s="52"/>
      <c r="AI34" s="10"/>
      <c r="AJ34" s="53">
        <f>AJ9/0.8</f>
        <v>1.4499999999999997</v>
      </c>
      <c r="AK34" s="89">
        <f>AK9/0.8</f>
        <v>0.30874999999999997</v>
      </c>
      <c r="AM34" s="97"/>
      <c r="AN34" s="98"/>
      <c r="AO34" s="99"/>
      <c r="AP34" s="99"/>
      <c r="AQ34" s="54"/>
      <c r="AR34" s="54"/>
      <c r="AS34" s="55"/>
      <c r="AT34" s="100"/>
      <c r="AV34" s="87"/>
      <c r="AW34" s="87"/>
      <c r="AX34" s="87"/>
      <c r="AY34" s="87"/>
      <c r="AZ34" s="52"/>
    </row>
    <row r="35" spans="1:52" s="56" customFormat="1" ht="134" customHeight="1" x14ac:dyDescent="0.2">
      <c r="A35" s="10" t="s">
        <v>330</v>
      </c>
      <c r="B35" s="52" t="str">
        <v>Blauer Wasserstoff (aus Erdölraffinerie, nicht weiter spezifiziert)</v>
      </c>
      <c r="C35" s="56">
        <v>33</v>
      </c>
      <c r="D35" s="10" t="str">
        <f>'ESU Summary_edit'!B35</f>
        <v>hydrogen, gaseous {GLO}| market for hydrogen, gaseous | Cut-off, U</v>
      </c>
      <c r="E35" s="10" t="str">
        <f>CED_edit!B36</f>
        <v>1 kg Hydrogen, gaseous {Europe without Switzerland}| hydrogen production, gaseous, petroleum refinery operation | Cut-off, U (of project Ecoinvent 3 - allocation, cut-off by classification - unit)</v>
      </c>
      <c r="F35" s="86"/>
      <c r="G35" s="56" t="s">
        <v>194</v>
      </c>
      <c r="H35" s="87">
        <v>141.80000000000001</v>
      </c>
      <c r="I35" s="56">
        <v>141.80000000000001</v>
      </c>
      <c r="J35" s="56">
        <v>141.80000000000001</v>
      </c>
      <c r="K35" s="56" t="s">
        <v>246</v>
      </c>
      <c r="L35" s="87"/>
      <c r="M35" s="52"/>
      <c r="R35" s="10"/>
      <c r="S35" s="54">
        <f>'ESU Summary_edit'!I35</f>
        <v>151.04923933401</v>
      </c>
      <c r="T35" s="54">
        <f>'ESU Summary_edit'!J35</f>
        <v>148.89269729389997</v>
      </c>
      <c r="U35" s="55">
        <f>'ESU Summary_edit'!K35</f>
        <v>1.5923413</v>
      </c>
      <c r="V35" s="55">
        <f>'ESU Summary_edit'!L35</f>
        <v>1.7902415</v>
      </c>
      <c r="W35" s="10" t="s">
        <v>286</v>
      </c>
      <c r="Y35" s="88"/>
      <c r="Z35" s="54">
        <f t="shared" si="10"/>
        <v>1.0652273577856839</v>
      </c>
      <c r="AA35" s="54">
        <f t="shared" si="7"/>
        <v>1.0500190218187586</v>
      </c>
      <c r="AB35" s="55">
        <f t="shared" ref="AB35:AB54" si="11">U35/(J35/3.6)+O35</f>
        <v>4.0426154301833564E-2</v>
      </c>
      <c r="AC35" s="55">
        <f t="shared" ref="AC35:AC54" si="12">V35/(J35/3.6)+O35</f>
        <v>4.5450418899858951E-2</v>
      </c>
      <c r="AD35" s="52"/>
      <c r="AE35" s="52"/>
      <c r="AF35" s="52" t="s">
        <v>452</v>
      </c>
      <c r="AG35" s="52" t="s">
        <v>760</v>
      </c>
      <c r="AH35" s="52"/>
      <c r="AI35" s="10"/>
      <c r="AJ35" s="53">
        <f>AJ34</f>
        <v>1.4499999999999997</v>
      </c>
      <c r="AK35" s="89">
        <f>AK34</f>
        <v>0.30874999999999997</v>
      </c>
      <c r="AM35" s="97"/>
      <c r="AN35" s="98"/>
      <c r="AO35" s="99"/>
      <c r="AP35" s="99"/>
      <c r="AQ35" s="54"/>
      <c r="AR35" s="54"/>
      <c r="AS35" s="55"/>
      <c r="AT35" s="100"/>
      <c r="AV35" s="87"/>
      <c r="AW35" s="87"/>
      <c r="AX35" s="87"/>
      <c r="AY35" s="87"/>
      <c r="AZ35" s="52"/>
    </row>
    <row r="36" spans="1:52" ht="30" customHeight="1" x14ac:dyDescent="0.2">
      <c r="A36" s="5" t="s">
        <v>331</v>
      </c>
      <c r="B36" s="31" t="str">
        <v>Strom aus PV (Produktionsmix, flach)</v>
      </c>
      <c r="C36">
        <v>34</v>
      </c>
      <c r="D36" s="5" t="str">
        <f>'ESU Summary_edit'!B36</f>
        <v>electricity, photovoltaic mix flat-roof, at plant/CH U</v>
      </c>
      <c r="E36" s="5" t="str">
        <f>CED_edit!B37</f>
        <v>1 kWh electricity, photovoltaic mix flat-roof, at plant/CH U (of project 000 primary energy factors various projects)</v>
      </c>
      <c r="G36" t="s">
        <v>207</v>
      </c>
      <c r="H36" s="30">
        <v>3.6</v>
      </c>
      <c r="I36">
        <v>3.6</v>
      </c>
      <c r="J36">
        <v>3.6</v>
      </c>
      <c r="K36" t="s">
        <v>258</v>
      </c>
      <c r="S36" s="8">
        <f>'ESU Summary_edit'!I36</f>
        <v>4.2756005259759986</v>
      </c>
      <c r="T36" s="8">
        <f>'ESU Summary_edit'!J36</f>
        <v>4.1907780841680005</v>
      </c>
      <c r="U36" s="7">
        <f>'ESU Summary_edit'!K36</f>
        <v>4.0411085999999999E-2</v>
      </c>
      <c r="V36" s="7">
        <f>'ESU Summary_edit'!L36</f>
        <v>4.8742028E-2</v>
      </c>
      <c r="W36" s="5" t="s">
        <v>286</v>
      </c>
      <c r="Z36" s="8">
        <f t="shared" si="10"/>
        <v>1.1876668127711107</v>
      </c>
      <c r="AA36" s="8">
        <f t="shared" si="7"/>
        <v>1.1641050233800001</v>
      </c>
      <c r="AB36" s="7">
        <f t="shared" si="11"/>
        <v>4.0411085999999999E-2</v>
      </c>
      <c r="AC36" s="7">
        <f t="shared" si="12"/>
        <v>4.8742028E-2</v>
      </c>
      <c r="AG36" s="31" t="s">
        <v>259</v>
      </c>
      <c r="AJ36" s="51">
        <v>1.25</v>
      </c>
      <c r="AK36" s="40">
        <v>6.0999999999999999E-2</v>
      </c>
      <c r="AM36" s="64" t="s">
        <v>264</v>
      </c>
      <c r="AN36" s="9" t="s">
        <v>424</v>
      </c>
      <c r="AQ36" s="8">
        <f>SUM(Z36:Z37)/2</f>
        <v>1.2059235539163891</v>
      </c>
      <c r="AR36" s="8">
        <f>SUM(AA36:AA37)/2</f>
        <v>1.1716960480223613</v>
      </c>
      <c r="AS36" s="7">
        <f>SUM(AB36:AB37)/2</f>
        <v>4.1154536999999998E-2</v>
      </c>
      <c r="AT36" s="96">
        <f>SUM(AC36:AC37)/2</f>
        <v>4.9260826000000001E-2</v>
      </c>
      <c r="AV36" s="84">
        <f>AQ36/AJ36-1</f>
        <v>-3.5261156866888799E-2</v>
      </c>
      <c r="AW36" s="84">
        <f>AR36/AJ36-1</f>
        <v>-6.2643161582111029E-2</v>
      </c>
      <c r="AX36" s="84">
        <f>AS36/AK36-1</f>
        <v>-0.32533545901639349</v>
      </c>
      <c r="AY36" s="84">
        <f>AT36/AK36-1</f>
        <v>-0.19244547540983603</v>
      </c>
      <c r="AZ36" s="31" t="s">
        <v>482</v>
      </c>
    </row>
    <row r="37" spans="1:52" ht="30" customHeight="1" x14ac:dyDescent="0.2">
      <c r="A37" s="5" t="s">
        <v>332</v>
      </c>
      <c r="B37" s="31" t="str">
        <v>Strom aus PV (Produktionsmix, schräg)</v>
      </c>
      <c r="C37">
        <v>35</v>
      </c>
      <c r="D37" s="5" t="str">
        <f>'ESU Summary_edit'!B37</f>
        <v>electricity, photovoltaic mix slanted-roof, at plant/CH U</v>
      </c>
      <c r="E37" s="5" t="str">
        <f>CED_edit!B38</f>
        <v>1 kWh electricity, photovoltaic mix slanted-roof, at plant/CH U (of project 000 primary energy factors various projects)</v>
      </c>
      <c r="G37" t="s">
        <v>207</v>
      </c>
      <c r="H37" s="30">
        <v>3.6</v>
      </c>
      <c r="I37">
        <v>3.6</v>
      </c>
      <c r="J37">
        <v>3.6</v>
      </c>
      <c r="K37" t="s">
        <v>258</v>
      </c>
      <c r="S37" s="8">
        <f>'ESU Summary_edit'!I37</f>
        <v>4.4070490622220015</v>
      </c>
      <c r="T37" s="8">
        <f>'ESU Summary_edit'!J37</f>
        <v>4.2454334615930005</v>
      </c>
      <c r="U37" s="7">
        <f>'ESU Summary_edit'!K37</f>
        <v>4.1897987999999997E-2</v>
      </c>
      <c r="V37" s="7">
        <f>'ESU Summary_edit'!L37</f>
        <v>4.9779624000000001E-2</v>
      </c>
      <c r="W37" s="5" t="s">
        <v>286</v>
      </c>
      <c r="Z37" s="8">
        <f t="shared" si="10"/>
        <v>1.2241802950616671</v>
      </c>
      <c r="AA37" s="8">
        <f t="shared" si="7"/>
        <v>1.1792870726647224</v>
      </c>
      <c r="AB37" s="7">
        <f t="shared" si="11"/>
        <v>4.1897987999999997E-2</v>
      </c>
      <c r="AC37" s="7">
        <f t="shared" si="12"/>
        <v>4.9779624000000001E-2</v>
      </c>
      <c r="AG37" s="31" t="s">
        <v>259</v>
      </c>
      <c r="AJ37" s="51">
        <v>1.25</v>
      </c>
      <c r="AK37" s="40">
        <v>6.0999999999999999E-2</v>
      </c>
      <c r="AM37" s="64"/>
      <c r="AQ37" s="8"/>
      <c r="AR37" s="8"/>
      <c r="AT37" s="96"/>
    </row>
    <row r="38" spans="1:52" ht="30" customHeight="1" x14ac:dyDescent="0.2">
      <c r="A38" s="5" t="s">
        <v>333</v>
      </c>
      <c r="B38" s="31" t="str">
        <v>Strom aus Windkraft</v>
      </c>
      <c r="C38">
        <v>36</v>
      </c>
      <c r="D38" s="5" t="str">
        <f>'ESU Summary_edit'!B38</f>
        <v>electricity, at wind power plant/RER U</v>
      </c>
      <c r="E38" s="5" t="str">
        <f>CED_edit!B39</f>
        <v>1 kWh Electricity, at wind power plant/RER U (of project ESU database 2022 UVEK)</v>
      </c>
      <c r="G38" t="s">
        <v>207</v>
      </c>
      <c r="H38" s="30">
        <v>3.6</v>
      </c>
      <c r="I38">
        <v>3.6</v>
      </c>
      <c r="J38">
        <v>3.6</v>
      </c>
      <c r="K38" t="s">
        <v>258</v>
      </c>
      <c r="S38" s="8">
        <f>'ESU Summary_edit'!I38</f>
        <v>3.8022145960009994</v>
      </c>
      <c r="T38" s="8">
        <f>'ESU Summary_edit'!J38</f>
        <v>3.7769006047160003</v>
      </c>
      <c r="U38" s="7">
        <f>'ESU Summary_edit'!K38</f>
        <v>1.1364337E-2</v>
      </c>
      <c r="V38" s="7">
        <f>'ESU Summary_edit'!L38</f>
        <v>1.3202673E-2</v>
      </c>
      <c r="Z38" s="8">
        <f t="shared" si="10"/>
        <v>1.0561707211113887</v>
      </c>
      <c r="AA38" s="8">
        <f t="shared" si="7"/>
        <v>1.0491390568655556</v>
      </c>
      <c r="AB38" s="7">
        <f t="shared" si="11"/>
        <v>1.1364337E-2</v>
      </c>
      <c r="AC38" s="7">
        <f t="shared" si="12"/>
        <v>1.3202673E-2</v>
      </c>
      <c r="AG38" s="31" t="s">
        <v>259</v>
      </c>
      <c r="AJ38" s="51">
        <v>1.03</v>
      </c>
      <c r="AK38" s="40">
        <v>8.9999999999999993E-3</v>
      </c>
      <c r="AM38" s="64" t="s">
        <v>265</v>
      </c>
      <c r="AN38" s="9" t="s">
        <v>353</v>
      </c>
      <c r="AQ38" s="8">
        <f>Z38</f>
        <v>1.0561707211113887</v>
      </c>
      <c r="AR38" s="8">
        <f>AA38</f>
        <v>1.0491390568655556</v>
      </c>
      <c r="AS38" s="7">
        <f>AB38</f>
        <v>1.1364337E-2</v>
      </c>
      <c r="AT38" s="96">
        <f>AC38</f>
        <v>1.3202673E-2</v>
      </c>
      <c r="AV38" s="84">
        <f>AQ38/AJ38-1</f>
        <v>2.5408467098435583E-2</v>
      </c>
      <c r="AW38" s="84">
        <f>AR38/AJ38-1</f>
        <v>1.8581608607335598E-2</v>
      </c>
      <c r="AX38" s="84">
        <f>AS38/AK38-1</f>
        <v>0.26270411111111125</v>
      </c>
      <c r="AY38" s="84">
        <f>AT38/AK38-1</f>
        <v>0.46696366666666678</v>
      </c>
      <c r="AZ38" s="31" t="s">
        <v>483</v>
      </c>
    </row>
    <row r="39" spans="1:52" ht="30" customHeight="1" x14ac:dyDescent="0.2">
      <c r="A39" s="5" t="s">
        <v>334</v>
      </c>
      <c r="B39" s="31" t="str">
        <v>Strom aus Laufwasserkraft</v>
      </c>
      <c r="C39">
        <v>37</v>
      </c>
      <c r="D39" s="5" t="str">
        <f>'ESU Summary_edit'!B39</f>
        <v>electricity, hydropower, at run-of-river power plant/kWh/RER U</v>
      </c>
      <c r="E39" s="5" t="str">
        <f>CED_edit!B40</f>
        <v>1 kWh electricity, hydropower, at run-of-river power plant/kWh/RER U (of project ESU database 2022 UVEK)</v>
      </c>
      <c r="G39" t="s">
        <v>207</v>
      </c>
      <c r="H39" s="30">
        <v>3.6</v>
      </c>
      <c r="I39">
        <v>3.6</v>
      </c>
      <c r="J39">
        <v>3.6</v>
      </c>
      <c r="K39" t="s">
        <v>258</v>
      </c>
      <c r="S39" s="8">
        <f>'ESU Summary_edit'!I39</f>
        <v>3.8366769937952085</v>
      </c>
      <c r="T39" s="8">
        <f>'ESU Summary_edit'!J39</f>
        <v>3.8326053246487</v>
      </c>
      <c r="U39" s="7">
        <f>'ESU Summary_edit'!K39</f>
        <v>4.0116214000000001E-3</v>
      </c>
      <c r="V39" s="7">
        <f>'ESU Summary_edit'!L39</f>
        <v>5.1771936999999999E-3</v>
      </c>
      <c r="Z39" s="8">
        <f t="shared" si="10"/>
        <v>1.0657436093875579</v>
      </c>
      <c r="AA39" s="8">
        <f t="shared" si="7"/>
        <v>1.0646125901801944</v>
      </c>
      <c r="AB39" s="7">
        <f t="shared" si="11"/>
        <v>4.0116214000000001E-3</v>
      </c>
      <c r="AC39" s="7">
        <f t="shared" si="12"/>
        <v>5.1771936999999999E-3</v>
      </c>
      <c r="AF39" s="31" t="s">
        <v>453</v>
      </c>
      <c r="AG39" s="31" t="s">
        <v>259</v>
      </c>
      <c r="AJ39" s="51">
        <v>1.06</v>
      </c>
      <c r="AK39" s="40">
        <v>3.0000000000000001E-3</v>
      </c>
      <c r="AM39" s="64" t="s">
        <v>426</v>
      </c>
      <c r="AN39" s="9" t="s">
        <v>425</v>
      </c>
      <c r="AQ39" s="8">
        <f>SUM(Z39:Z40)/2</f>
        <v>1.0664611486236057</v>
      </c>
      <c r="AR39" s="8">
        <f>SUM(AA39:AA40)/2</f>
        <v>1.0653084578564722</v>
      </c>
      <c r="AS39" s="7">
        <f>SUM(AB39:AB40)/2</f>
        <v>1.0500758700000001E-2</v>
      </c>
      <c r="AT39" s="96">
        <f>SUM(AC39:AC40)/2</f>
        <v>1.261271835E-2</v>
      </c>
      <c r="AV39" s="84">
        <f>AQ39/AJ39-1</f>
        <v>6.0954232298167099E-3</v>
      </c>
      <c r="AW39" s="84">
        <f>AR39/AJ39-1</f>
        <v>5.0079791098793791E-3</v>
      </c>
      <c r="AX39" s="84">
        <f>AS39/AK39-1</f>
        <v>2.5002529000000004</v>
      </c>
      <c r="AY39" s="84">
        <f>AT39/AK39-1</f>
        <v>3.2042394500000002</v>
      </c>
      <c r="AZ39" s="31" t="s">
        <v>483</v>
      </c>
    </row>
    <row r="40" spans="1:52" ht="114" customHeight="1" x14ac:dyDescent="0.2">
      <c r="A40" s="5" t="s">
        <v>335</v>
      </c>
      <c r="B40" s="31" t="str">
        <v>Strom aus Stauwasserkraft</v>
      </c>
      <c r="C40">
        <v>38</v>
      </c>
      <c r="D40" s="5" t="str">
        <f>'ESU Summary_edit'!B40</f>
        <v>electricity, hydropower, at reservoir power plant, non alpine regions/kWh/RER U</v>
      </c>
      <c r="E40" s="5" t="str">
        <f>CED_edit!B41</f>
        <v>1 kWh electricity, hydropower, at reservoir power plant, non alpine regions/kWh/RER U (of project ESU database 2022 UVEK)</v>
      </c>
      <c r="G40" t="s">
        <v>207</v>
      </c>
      <c r="H40" s="30">
        <v>3.6</v>
      </c>
      <c r="I40">
        <v>3.6</v>
      </c>
      <c r="J40">
        <v>3.6</v>
      </c>
      <c r="K40" t="s">
        <v>258</v>
      </c>
      <c r="S40" s="8">
        <f>'ESU Summary_edit'!I40</f>
        <v>3.8418432762947532</v>
      </c>
      <c r="T40" s="8">
        <f>'ESU Summary_edit'!J40</f>
        <v>3.8376155719179001</v>
      </c>
      <c r="U40" s="7">
        <f>'ESU Summary_edit'!K40</f>
        <v>1.6989896000000001E-2</v>
      </c>
      <c r="V40" s="7">
        <f>'ESU Summary_edit'!L40</f>
        <v>2.0048243E-2</v>
      </c>
      <c r="Z40" s="8">
        <f t="shared" si="10"/>
        <v>1.0671786878596536</v>
      </c>
      <c r="AA40" s="8">
        <f t="shared" si="7"/>
        <v>1.06600432553275</v>
      </c>
      <c r="AB40" s="7">
        <f t="shared" si="11"/>
        <v>1.6989896000000001E-2</v>
      </c>
      <c r="AC40" s="7">
        <f t="shared" si="12"/>
        <v>2.0048243E-2</v>
      </c>
      <c r="AF40" s="31" t="s">
        <v>453</v>
      </c>
      <c r="AG40" s="31" t="s">
        <v>259</v>
      </c>
      <c r="AJ40" s="51">
        <v>1.06</v>
      </c>
      <c r="AK40" s="40">
        <v>3.0000000000000001E-3</v>
      </c>
      <c r="AM40" s="64"/>
      <c r="AQ40" s="8"/>
      <c r="AR40" s="8"/>
      <c r="AT40" s="96"/>
    </row>
    <row r="41" spans="1:52" ht="110" customHeight="1" x14ac:dyDescent="0.2">
      <c r="A41" s="5" t="s">
        <v>336</v>
      </c>
      <c r="B41" s="31" t="str">
        <v>Strom aus thermischer Abfallbehandlung</v>
      </c>
      <c r="C41">
        <v>39</v>
      </c>
      <c r="D41" s="5" t="str">
        <f>'ESU Summary_edit'!B41</f>
        <v>electricity from waste, at municipal waste incineration plant/CH U</v>
      </c>
      <c r="E41" s="5" t="str">
        <f>CED_edit!B42</f>
        <v>1 kWh Electricity from waste, at municipal waste incineration plant/CH U (of project ESU database 2022 UVEK)</v>
      </c>
      <c r="G41" t="s">
        <v>207</v>
      </c>
      <c r="H41" s="30">
        <v>3.6</v>
      </c>
      <c r="I41">
        <v>3.6</v>
      </c>
      <c r="J41">
        <v>3.6</v>
      </c>
      <c r="K41" t="s">
        <v>258</v>
      </c>
      <c r="S41" s="8">
        <f>'ESU Summary_edit'!I41</f>
        <v>0</v>
      </c>
      <c r="T41" s="8">
        <f>'ESU Summary_edit'!J41</f>
        <v>3.6</v>
      </c>
      <c r="U41" s="7">
        <f>'ESU Summary_edit'!K41</f>
        <v>0</v>
      </c>
      <c r="V41" s="7">
        <f>'ESU Summary_edit'!L41</f>
        <v>0</v>
      </c>
      <c r="W41" s="5" t="s">
        <v>291</v>
      </c>
      <c r="Y41" s="47">
        <v>1</v>
      </c>
      <c r="Z41" s="8">
        <f>S41/I41+Y41</f>
        <v>1</v>
      </c>
      <c r="AA41" s="8">
        <f t="shared" si="7"/>
        <v>2</v>
      </c>
      <c r="AB41" s="7">
        <f t="shared" si="11"/>
        <v>0</v>
      </c>
      <c r="AC41" s="7">
        <f t="shared" si="12"/>
        <v>0</v>
      </c>
      <c r="AF41" s="31" t="s">
        <v>469</v>
      </c>
      <c r="AJ41" s="51"/>
      <c r="AK41" s="40"/>
      <c r="AM41" s="64"/>
      <c r="AQ41" s="8"/>
      <c r="AR41" s="8"/>
      <c r="AT41" s="96"/>
    </row>
    <row r="42" spans="1:52" ht="30" customHeight="1" x14ac:dyDescent="0.2">
      <c r="A42" s="5" t="s">
        <v>337</v>
      </c>
      <c r="B42" s="31" t="str">
        <v>Strommix (Deutschland)</v>
      </c>
      <c r="C42">
        <v>40</v>
      </c>
      <c r="D42" s="5" t="str">
        <f>'ESU Summary_edit'!B42</f>
        <v>electricity, low voltage, production DE, at grid/kWh/DE U</v>
      </c>
      <c r="E42" s="5" t="str">
        <f>CED_edit!B43</f>
        <v>1 kWh electricity, low voltage, at grid/kWh/DE U (of project ESU database 2022 UVEK)</v>
      </c>
      <c r="G42" t="s">
        <v>207</v>
      </c>
      <c r="H42" s="30">
        <v>3.6</v>
      </c>
      <c r="I42">
        <v>3.6</v>
      </c>
      <c r="J42">
        <v>3.6</v>
      </c>
      <c r="K42" t="s">
        <v>258</v>
      </c>
      <c r="Q42">
        <f>T42/S42</f>
        <v>0.96841473143152368</v>
      </c>
      <c r="S42" s="8">
        <f>'ESU Summary_edit'!I42</f>
        <v>9.4847425192390116</v>
      </c>
      <c r="T42" s="8">
        <f>'ESU Summary_edit'!J42</f>
        <v>9.1851643794660003</v>
      </c>
      <c r="U42" s="7">
        <f>'ESU Summary_edit'!K42</f>
        <v>0.47567072999999999</v>
      </c>
      <c r="V42" s="7">
        <f>'ESU Summary_edit'!L42</f>
        <v>0.53284726000000004</v>
      </c>
      <c r="Z42" s="8">
        <f>S42/I42</f>
        <v>2.6346506997886143</v>
      </c>
      <c r="AA42" s="8">
        <f t="shared" si="7"/>
        <v>2.5514345498516668</v>
      </c>
      <c r="AB42" s="7">
        <f t="shared" si="11"/>
        <v>0.47567072999999999</v>
      </c>
      <c r="AC42" s="7">
        <f t="shared" si="12"/>
        <v>0.53284726000000004</v>
      </c>
      <c r="AF42" s="31" t="s">
        <v>472</v>
      </c>
      <c r="AG42" s="31" t="s">
        <v>259</v>
      </c>
      <c r="AJ42" s="51">
        <v>2.67</v>
      </c>
      <c r="AK42" s="40">
        <v>0.61699999999999999</v>
      </c>
      <c r="AM42" s="64" t="s">
        <v>428</v>
      </c>
      <c r="AN42" s="9" t="s">
        <v>429</v>
      </c>
      <c r="AQ42" s="8">
        <f t="shared" ref="AQ42:AT43" si="13">Z42</f>
        <v>2.6346506997886143</v>
      </c>
      <c r="AR42" s="8">
        <f t="shared" si="13"/>
        <v>2.5514345498516668</v>
      </c>
      <c r="AS42" s="7">
        <f t="shared" si="13"/>
        <v>0.47567072999999999</v>
      </c>
      <c r="AT42" s="96">
        <f t="shared" si="13"/>
        <v>0.53284726000000004</v>
      </c>
      <c r="AV42" s="84">
        <f>AQ42/AJ42-1</f>
        <v>-1.3239438281417826E-2</v>
      </c>
      <c r="AW42" s="84">
        <f t="shared" ref="AW42:AX44" si="14">AR42/AJ42-1</f>
        <v>-4.4406535636079769E-2</v>
      </c>
      <c r="AX42" s="84">
        <f t="shared" si="14"/>
        <v>-0.22905878444084282</v>
      </c>
      <c r="AY42" s="84">
        <f>AT42/AK42-1</f>
        <v>-0.13639017828200961</v>
      </c>
      <c r="AZ42" s="31" t="s">
        <v>488</v>
      </c>
    </row>
    <row r="43" spans="1:52" ht="30" customHeight="1" x14ac:dyDescent="0.2">
      <c r="A43" s="5" t="s">
        <v>338</v>
      </c>
      <c r="B43" s="31" t="str">
        <v>Strommix (EU)</v>
      </c>
      <c r="C43">
        <v>41</v>
      </c>
      <c r="D43" s="5" t="str">
        <f>'ESU Summary_edit'!B43</f>
        <v>electricity, low voltage, production ENTSO, at grid/kWh/ENTSO U</v>
      </c>
      <c r="E43" s="5" t="str">
        <f>CED_edit!B44</f>
        <v>1 kWh electricity, low voltage, production ENTSO, at grid/kWh/ENTSO U (of project ESU database 2022 UVEK)</v>
      </c>
      <c r="G43" t="s">
        <v>207</v>
      </c>
      <c r="H43" s="30">
        <v>3.6</v>
      </c>
      <c r="I43">
        <v>3.6</v>
      </c>
      <c r="J43">
        <v>3.6</v>
      </c>
      <c r="K43" t="s">
        <v>258</v>
      </c>
      <c r="Q43">
        <f>T43/S43</f>
        <v>0.94452478049652244</v>
      </c>
      <c r="S43" s="8">
        <f>'ESU Summary_edit'!I43</f>
        <v>12.245704770169962</v>
      </c>
      <c r="T43" s="8">
        <f>'ESU Summary_edit'!J43</f>
        <v>11.56637161007</v>
      </c>
      <c r="U43" s="7">
        <f>'ESU Summary_edit'!K43</f>
        <v>0.53415751</v>
      </c>
      <c r="V43" s="7">
        <f>'ESU Summary_edit'!L43</f>
        <v>0.60006932000000002</v>
      </c>
      <c r="Z43" s="8">
        <f>S43/I43</f>
        <v>3.4015846583805449</v>
      </c>
      <c r="AA43" s="8">
        <f t="shared" si="7"/>
        <v>3.2128810027972223</v>
      </c>
      <c r="AB43" s="7">
        <f t="shared" si="11"/>
        <v>0.53415751</v>
      </c>
      <c r="AC43" s="7">
        <f t="shared" si="12"/>
        <v>0.60006932000000002</v>
      </c>
      <c r="AF43" s="31" t="s">
        <v>471</v>
      </c>
      <c r="AG43" s="31" t="s">
        <v>259</v>
      </c>
      <c r="AJ43" s="51">
        <v>2.67</v>
      </c>
      <c r="AK43" s="40">
        <v>0.61699999999999999</v>
      </c>
      <c r="AM43" s="64" t="s">
        <v>427</v>
      </c>
      <c r="AN43" s="9" t="s">
        <v>430</v>
      </c>
      <c r="AQ43" s="8">
        <f t="shared" si="13"/>
        <v>3.4015846583805449</v>
      </c>
      <c r="AR43" s="8">
        <f t="shared" si="13"/>
        <v>3.2128810027972223</v>
      </c>
      <c r="AS43" s="8">
        <f t="shared" si="13"/>
        <v>0.53415751</v>
      </c>
      <c r="AT43" s="101">
        <f t="shared" si="13"/>
        <v>0.60006932000000002</v>
      </c>
      <c r="AV43" s="84">
        <f>AQ43/AJ43-1</f>
        <v>0.2740017447118146</v>
      </c>
      <c r="AW43" s="84">
        <f t="shared" si="14"/>
        <v>0.2033262182761133</v>
      </c>
      <c r="AX43" s="84">
        <f t="shared" si="14"/>
        <v>-0.13426659643435979</v>
      </c>
      <c r="AY43" s="84">
        <f>AT43/AK43-1</f>
        <v>-2.7440324149108575E-2</v>
      </c>
      <c r="AZ43" s="31" t="s">
        <v>484</v>
      </c>
    </row>
    <row r="44" spans="1:52" ht="30" customHeight="1" x14ac:dyDescent="0.2">
      <c r="A44" s="5" t="s">
        <v>339</v>
      </c>
      <c r="B44" s="31" t="str">
        <v>Wärme aus Solarthermie (Flachkollektoren, Produktionsmix, flach)</v>
      </c>
      <c r="C44">
        <v>42</v>
      </c>
      <c r="D44" s="5" t="str">
        <f>'ESU Summary_edit'!B44</f>
        <v>heat, at 30 m2 Cu collector, multiple dwelling, flat roof, for hot water/CH U</v>
      </c>
      <c r="E44" s="5" t="str">
        <f>CED_edit!B45</f>
        <v>1 MJ heat, at 30 m2 Cu collector, multiple dwelling, flat roof, for hot water/CH U (of project ESU database 2022 UVEK)</v>
      </c>
      <c r="G44" t="s">
        <v>138</v>
      </c>
      <c r="H44" s="30">
        <v>1</v>
      </c>
      <c r="I44">
        <v>1</v>
      </c>
      <c r="J44">
        <v>1</v>
      </c>
      <c r="K44" t="s">
        <v>245</v>
      </c>
      <c r="S44" s="8">
        <f>'ESU Summary_edit'!I44</f>
        <v>0.11620031290520028</v>
      </c>
      <c r="T44" s="8">
        <f>'ESU Summary_edit'!J44</f>
        <v>1.0990964034763999</v>
      </c>
      <c r="U44" s="7">
        <f>'ESU Summary_edit'!K44</f>
        <v>4.4952752E-3</v>
      </c>
      <c r="V44" s="7">
        <f>'ESU Summary_edit'!L44</f>
        <v>5.1904628999999997E-3</v>
      </c>
      <c r="W44" s="5" t="s">
        <v>286</v>
      </c>
      <c r="Z44" s="8">
        <f>S44/I44</f>
        <v>0.11620031290520028</v>
      </c>
      <c r="AA44" s="8">
        <f t="shared" si="7"/>
        <v>1.0990964034763999</v>
      </c>
      <c r="AB44" s="7">
        <f t="shared" si="11"/>
        <v>1.6182990719999998E-2</v>
      </c>
      <c r="AC44" s="7">
        <f t="shared" si="12"/>
        <v>1.8685666439999998E-2</v>
      </c>
      <c r="AF44" s="31" t="s">
        <v>467</v>
      </c>
      <c r="AG44" s="31" t="s">
        <v>259</v>
      </c>
      <c r="AJ44" s="51">
        <v>1.04</v>
      </c>
      <c r="AK44" s="40">
        <v>2.5000000000000001E-2</v>
      </c>
      <c r="AM44" s="64" t="s">
        <v>266</v>
      </c>
      <c r="AN44" s="9" t="s">
        <v>354</v>
      </c>
      <c r="AQ44" s="8">
        <f>SUM(Z44:Z46)/3</f>
        <v>0.14699334467566694</v>
      </c>
      <c r="AR44" s="8">
        <f>SUM(AA44:AA46)/3</f>
        <v>1.1274275564578999</v>
      </c>
      <c r="AS44" s="7">
        <f>SUM(AB44:AB46)/3</f>
        <v>1.9868540760000001E-2</v>
      </c>
      <c r="AT44" s="96">
        <f>SUM(AC44:AC46)/3</f>
        <v>2.293570512E-2</v>
      </c>
      <c r="AV44" s="84">
        <f>AQ44/AJ44-1</f>
        <v>-0.85866024550416642</v>
      </c>
      <c r="AW44" s="84">
        <f t="shared" si="14"/>
        <v>8.4064958132596068E-2</v>
      </c>
      <c r="AX44" s="84">
        <f t="shared" si="14"/>
        <v>-0.20525836959999999</v>
      </c>
      <c r="AY44" s="84">
        <f>AT44/AK44-1</f>
        <v>-8.257179520000002E-2</v>
      </c>
      <c r="AZ44" s="31" t="s">
        <v>485</v>
      </c>
    </row>
    <row r="45" spans="1:52" ht="30" customHeight="1" x14ac:dyDescent="0.2">
      <c r="A45" s="5" t="s">
        <v>340</v>
      </c>
      <c r="B45" s="31" t="str">
        <v>Wärme aus Solarthermie (Flachkollektoren, Produktionsmix, schräg)</v>
      </c>
      <c r="C45">
        <v>43</v>
      </c>
      <c r="D45" s="5" t="str">
        <f>'ESU Summary_edit'!B45</f>
        <v>heat, at 30 m2 Cu collector, multiple dwelling, slanted roof, for hot water/CH U</v>
      </c>
      <c r="E45" s="5" t="str">
        <f>CED_edit!B46</f>
        <v>1 MJ heat, at 30 m2 Cu collector, multiple dwelling, slanted roof, for hot water/CH U (of project ESU database 2022 UVEK)</v>
      </c>
      <c r="G45" t="s">
        <v>138</v>
      </c>
      <c r="H45" s="30">
        <v>1</v>
      </c>
      <c r="I45">
        <v>1</v>
      </c>
      <c r="J45">
        <v>1</v>
      </c>
      <c r="K45" t="s">
        <v>245</v>
      </c>
      <c r="S45" s="8">
        <f>'ESU Summary_edit'!I45</f>
        <v>0.11190296200580013</v>
      </c>
      <c r="T45" s="8">
        <f>'ESU Summary_edit'!J45</f>
        <v>1.0952875154913</v>
      </c>
      <c r="U45" s="7">
        <f>'ESU Summary_edit'!K45</f>
        <v>4.1676663000000001E-3</v>
      </c>
      <c r="V45" s="7">
        <f>'ESU Summary_edit'!L45</f>
        <v>4.8253701999999999E-3</v>
      </c>
      <c r="W45" s="5" t="s">
        <v>286</v>
      </c>
      <c r="Z45" s="8">
        <f>S45/I45</f>
        <v>0.11190296200580013</v>
      </c>
      <c r="AA45" s="8">
        <f t="shared" si="7"/>
        <v>1.0952875154913</v>
      </c>
      <c r="AB45" s="7">
        <f t="shared" si="11"/>
        <v>1.5003598679999999E-2</v>
      </c>
      <c r="AC45" s="7">
        <f t="shared" si="12"/>
        <v>1.737133272E-2</v>
      </c>
      <c r="AF45" s="31" t="s">
        <v>467</v>
      </c>
      <c r="AG45" s="31" t="s">
        <v>259</v>
      </c>
      <c r="AJ45" s="51">
        <v>1.04</v>
      </c>
      <c r="AK45" s="40">
        <v>2.5000000000000001E-2</v>
      </c>
      <c r="AM45" s="64"/>
      <c r="AQ45" s="8"/>
      <c r="AR45" s="8"/>
      <c r="AT45" s="96"/>
    </row>
    <row r="46" spans="1:52" ht="30" customHeight="1" x14ac:dyDescent="0.2">
      <c r="A46" s="5" t="s">
        <v>341</v>
      </c>
      <c r="B46" s="31" t="str">
        <v>Wärme aus Solarthermie (Vakuumröhrenkollektoren, Produktionsmix)</v>
      </c>
      <c r="C46">
        <v>44</v>
      </c>
      <c r="D46" s="5" t="str">
        <f>'ESU Summary_edit'!B46</f>
        <v>heat, at 10.5 m2 evacuated tube collector, heat pipe, one-family house, for combined system/CH U</v>
      </c>
      <c r="E46" s="5" t="str">
        <f>CED_edit!B47</f>
        <v>1 MJ heat, at 10.5 m2 evacuated tube collector, heat pipe, one-family house, for combined system/CH U (of project ESU database 2022 UVEK)</v>
      </c>
      <c r="G46" t="s">
        <v>138</v>
      </c>
      <c r="H46" s="30">
        <v>1</v>
      </c>
      <c r="I46">
        <v>1</v>
      </c>
      <c r="J46">
        <v>1</v>
      </c>
      <c r="K46" t="s">
        <v>245</v>
      </c>
      <c r="S46" s="8">
        <f>'ESU Summary_edit'!I46</f>
        <v>0.21287675911600037</v>
      </c>
      <c r="T46" s="8">
        <f>'ESU Summary_edit'!J46</f>
        <v>1.1878987504059999</v>
      </c>
      <c r="U46" s="7">
        <f>'ESU Summary_edit'!K46</f>
        <v>7.8941758000000001E-3</v>
      </c>
      <c r="V46" s="7">
        <f>'ESU Summary_edit'!L46</f>
        <v>9.0972545000000005E-3</v>
      </c>
      <c r="W46" s="5" t="s">
        <v>286</v>
      </c>
      <c r="Z46" s="8">
        <f>S46/I46</f>
        <v>0.21287675911600037</v>
      </c>
      <c r="AA46" s="8">
        <f t="shared" si="7"/>
        <v>1.1878987504059999</v>
      </c>
      <c r="AB46" s="7">
        <f t="shared" si="11"/>
        <v>2.841903288E-2</v>
      </c>
      <c r="AC46" s="7">
        <f t="shared" si="12"/>
        <v>3.2750116199999998E-2</v>
      </c>
      <c r="AD46" s="83"/>
      <c r="AF46" s="31" t="s">
        <v>468</v>
      </c>
      <c r="AG46" s="31" t="s">
        <v>259</v>
      </c>
      <c r="AJ46" s="51">
        <v>1.04</v>
      </c>
      <c r="AK46" s="40">
        <v>2.5000000000000001E-2</v>
      </c>
      <c r="AM46" s="64"/>
      <c r="AQ46" s="8"/>
      <c r="AR46" s="8"/>
      <c r="AT46" s="96"/>
    </row>
    <row r="47" spans="1:52" ht="86" customHeight="1" x14ac:dyDescent="0.2">
      <c r="A47" s="5" t="s">
        <v>342</v>
      </c>
      <c r="B47" s="31" t="str">
        <v>Wärme aus Erdwärmepumpen (10kW)</v>
      </c>
      <c r="C47">
        <v>45</v>
      </c>
      <c r="D47" s="5" t="str">
        <f>'ESU Summary_edit'!B47</f>
        <v>heat, borehole heat exchanger, at brine-water heat pump 10kW/DE U</v>
      </c>
      <c r="E47" s="5" t="str">
        <f>CED_edit!B48</f>
        <v>1 MJ Heat, borehole heat exchanger, at brine-water heat pump 10kW/DE U (of project 000 primary energy factors various projects)</v>
      </c>
      <c r="F47" s="42">
        <f>0.227/0.0712</f>
        <v>3.1882022471910112</v>
      </c>
      <c r="G47" t="s">
        <v>138</v>
      </c>
      <c r="H47" s="30">
        <v>1</v>
      </c>
      <c r="I47">
        <v>1</v>
      </c>
      <c r="J47">
        <v>1</v>
      </c>
      <c r="K47" t="s">
        <v>245</v>
      </c>
      <c r="S47" s="8">
        <f>'ESU Summary_edit'!I47</f>
        <v>0.69813233346500103</v>
      </c>
      <c r="T47" s="8">
        <f>'ESU Summary_edit'!J47</f>
        <v>0.57926514710010002</v>
      </c>
      <c r="U47" s="7">
        <f>'ESU Summary_edit'!K47</f>
        <v>4.0095139000000002E-2</v>
      </c>
      <c r="V47" s="7">
        <f>'ESU Summary_edit'!L47</f>
        <v>5.2528712999999998E-2</v>
      </c>
      <c r="W47" s="5" t="s">
        <v>290</v>
      </c>
      <c r="Y47" s="47">
        <f>(1-1/F47)</f>
        <v>0.68634361233480168</v>
      </c>
      <c r="Z47" s="8">
        <f>S47/I47+Y47</f>
        <v>1.3844759457998026</v>
      </c>
      <c r="AA47" s="8">
        <f t="shared" si="7"/>
        <v>1.2656087594349017</v>
      </c>
      <c r="AB47" s="7">
        <f t="shared" si="11"/>
        <v>0.14434250039999999</v>
      </c>
      <c r="AC47" s="7">
        <f t="shared" si="12"/>
        <v>0.18910336679999998</v>
      </c>
      <c r="AD47" s="83">
        <f>$AB$42/F47</f>
        <v>0.14919716288986784</v>
      </c>
      <c r="AE47" s="83">
        <f>AC47/AB47</f>
        <v>1.3101017806672275</v>
      </c>
      <c r="AF47" s="40" t="s">
        <v>464</v>
      </c>
      <c r="AG47" s="40" t="s">
        <v>259</v>
      </c>
      <c r="AH47" s="40">
        <f>AC42/F47</f>
        <v>0.1671309467488987</v>
      </c>
      <c r="AJ47" s="51">
        <f>AJ$43/F47+(1-1/F47)</f>
        <v>1.5238061674008809</v>
      </c>
      <c r="AK47" s="40">
        <f>AK$42/$F47</f>
        <v>0.19352599118942732</v>
      </c>
      <c r="AM47" s="64" t="s">
        <v>432</v>
      </c>
      <c r="AN47" s="9" t="s">
        <v>431</v>
      </c>
      <c r="AQ47" s="8">
        <f>(Z47+Z49)/2</f>
        <v>1.4111383522793373</v>
      </c>
      <c r="AR47" s="8">
        <f>(AA47+AA49)/2</f>
        <v>1.283637542605387</v>
      </c>
      <c r="AS47" s="7">
        <f>(AB47+AB49)/2</f>
        <v>0.15333182279999999</v>
      </c>
      <c r="AT47" s="96">
        <f>(AC47+AC49)/2</f>
        <v>0.19917322199999998</v>
      </c>
      <c r="AV47" s="84">
        <f>AQ47/AJ47-1</f>
        <v>-7.3938416533461337E-2</v>
      </c>
      <c r="AW47" s="84">
        <f>AR47/AJ47-1</f>
        <v>-0.1576110071828517</v>
      </c>
      <c r="AX47" s="84">
        <f>AS47/AK47-1</f>
        <v>-0.20769390272795152</v>
      </c>
      <c r="AY47" s="84">
        <f>AT47/AK47-1</f>
        <v>2.9180735754739118E-2</v>
      </c>
      <c r="AZ47" s="31" t="s">
        <v>489</v>
      </c>
    </row>
    <row r="48" spans="1:52" ht="73" customHeight="1" x14ac:dyDescent="0.2">
      <c r="A48" s="5" t="s">
        <v>343</v>
      </c>
      <c r="B48" s="31" t="str">
        <v>Wärme aus Luftwärmepumpen (10 kW)</v>
      </c>
      <c r="C48">
        <v>46</v>
      </c>
      <c r="D48" s="5" t="str">
        <f>'ESU Summary_edit'!B48</f>
        <v>heat, at air-water heat pump 10kW/DE U</v>
      </c>
      <c r="E48" s="5" t="str">
        <f>CED_edit!B49</f>
        <v>1 MJ Heat, at air-water heat pump 10kW/DE U (of project 000 primary energy factors various projects)</v>
      </c>
      <c r="F48" s="42">
        <f>0.227/0.0992</f>
        <v>2.2883064516129035</v>
      </c>
      <c r="G48" t="s">
        <v>138</v>
      </c>
      <c r="H48" s="30">
        <v>1</v>
      </c>
      <c r="I48">
        <v>1</v>
      </c>
      <c r="J48">
        <v>1</v>
      </c>
      <c r="K48" t="s">
        <v>245</v>
      </c>
      <c r="S48" s="8">
        <f>'ESU Summary_edit'!I48</f>
        <v>0.95276278172300022</v>
      </c>
      <c r="T48" s="8">
        <f>'ESU Summary_edit'!J48</f>
        <v>0.787465987393</v>
      </c>
      <c r="U48" s="7">
        <f>'ESU Summary_edit'!K48</f>
        <v>5.5710902999999999E-2</v>
      </c>
      <c r="V48" s="7">
        <f>'ESU Summary_edit'!L48</f>
        <v>7.4447944000000002E-2</v>
      </c>
      <c r="W48" s="5" t="s">
        <v>290</v>
      </c>
      <c r="Y48" s="47">
        <f>(1-1/F48)</f>
        <v>0.56299559471365646</v>
      </c>
      <c r="Z48" s="8">
        <f>S48/I48+Y48</f>
        <v>1.5157583764366567</v>
      </c>
      <c r="AA48" s="8">
        <f t="shared" si="7"/>
        <v>1.3504615821066563</v>
      </c>
      <c r="AB48" s="7">
        <f t="shared" si="11"/>
        <v>0.20055925079999998</v>
      </c>
      <c r="AC48" s="7">
        <f t="shared" si="12"/>
        <v>0.26801259839999997</v>
      </c>
      <c r="AD48" s="83">
        <f>$AB$42/F48</f>
        <v>0.2078702044757709</v>
      </c>
      <c r="AE48" s="83">
        <f>AC48/AB48</f>
        <v>1.3363262842822705</v>
      </c>
      <c r="AF48" s="40" t="s">
        <v>464</v>
      </c>
      <c r="AG48" s="40" t="s">
        <v>259</v>
      </c>
      <c r="AH48" s="40">
        <f>AC42/F48</f>
        <v>0.23285659996475772</v>
      </c>
      <c r="AI48" s="15"/>
      <c r="AJ48" s="51">
        <f>AJ$43/F48+(1-1/F48)</f>
        <v>1.7297973568281937</v>
      </c>
      <c r="AK48" s="40">
        <f t="shared" ref="AK48:AK50" si="15">AK$42/$F48</f>
        <v>0.26963171806167396</v>
      </c>
      <c r="AM48" s="64" t="s">
        <v>434</v>
      </c>
      <c r="AN48" s="9" t="s">
        <v>433</v>
      </c>
      <c r="AQ48" s="8">
        <f>Z48</f>
        <v>1.5157583764366567</v>
      </c>
      <c r="AR48" s="8">
        <f t="shared" ref="AR48:AT48" si="16">AA48</f>
        <v>1.3504615821066563</v>
      </c>
      <c r="AS48" s="7">
        <f t="shared" si="16"/>
        <v>0.20055925079999998</v>
      </c>
      <c r="AT48" s="96">
        <f t="shared" si="16"/>
        <v>0.26801259839999997</v>
      </c>
      <c r="AV48" s="84">
        <f>AQ48/AJ48-1</f>
        <v>-0.12373644782531357</v>
      </c>
      <c r="AW48" s="84">
        <f>AR48/AJ48-1</f>
        <v>-0.21929492100571735</v>
      </c>
      <c r="AX48" s="84">
        <f>AS48/AK48-1</f>
        <v>-0.25617337514377581</v>
      </c>
      <c r="AY48" s="84">
        <f>AT48/AK48-1</f>
        <v>-6.004930255659513E-3</v>
      </c>
      <c r="AZ48" s="31" t="s">
        <v>489</v>
      </c>
    </row>
    <row r="49" spans="1:52" ht="30" customHeight="1" x14ac:dyDescent="0.2">
      <c r="A49" s="5" t="s">
        <v>344</v>
      </c>
      <c r="B49" s="31" t="str">
        <v>Wärme aus Grundwasserwärmepumpen (10 kW)</v>
      </c>
      <c r="C49">
        <v>47</v>
      </c>
      <c r="D49" s="5" t="str">
        <f>'ESU Summary_edit'!B49</f>
        <v>heat, at groundwater heat pump, 10kW/MJ/DE U</v>
      </c>
      <c r="E49" s="5" t="str">
        <f>CED_edit!B50</f>
        <v>1 MJ heat, at groundwater heat pump, 10kW/MJ/DE U (of project 000 primary energy factors various projects)</v>
      </c>
      <c r="F49" s="42">
        <f>0.227/0.0817</f>
        <v>2.7784577723378217</v>
      </c>
      <c r="G49" t="s">
        <v>138</v>
      </c>
      <c r="H49" s="30">
        <v>1</v>
      </c>
      <c r="I49">
        <v>1</v>
      </c>
      <c r="J49">
        <v>1</v>
      </c>
      <c r="K49" t="s">
        <v>245</v>
      </c>
      <c r="S49" s="8">
        <f>'ESU Summary_edit'!I49</f>
        <v>0.79771265303199967</v>
      </c>
      <c r="T49" s="8">
        <f>'ESU Summary_edit'!J49</f>
        <v>0.66157822004900002</v>
      </c>
      <c r="U49" s="7">
        <f>'ESU Summary_edit'!K49</f>
        <v>4.5089206999999999E-2</v>
      </c>
      <c r="V49" s="7">
        <f>'ESU Summary_edit'!L49</f>
        <v>5.8123077000000002E-2</v>
      </c>
      <c r="W49" s="5" t="s">
        <v>290</v>
      </c>
      <c r="Y49" s="47">
        <f>(1-1/F49)</f>
        <v>0.64008810572687236</v>
      </c>
      <c r="Z49" s="8">
        <f>S49/I49+Y49</f>
        <v>1.4378007587588719</v>
      </c>
      <c r="AA49" s="8">
        <f t="shared" si="7"/>
        <v>1.3016663257758725</v>
      </c>
      <c r="AB49" s="7">
        <f t="shared" si="11"/>
        <v>0.16232114519999999</v>
      </c>
      <c r="AC49" s="7">
        <f t="shared" si="12"/>
        <v>0.20924307719999999</v>
      </c>
      <c r="AD49" s="83">
        <f>$AB$42/F49</f>
        <v>0.17119955348458146</v>
      </c>
      <c r="AE49" s="83">
        <f>AC49/AB49</f>
        <v>1.2890685125600014</v>
      </c>
      <c r="AF49" s="40" t="s">
        <v>464</v>
      </c>
      <c r="AG49" s="40" t="s">
        <v>259</v>
      </c>
      <c r="AH49" s="40">
        <f>AC42/F49</f>
        <v>0.19177806670484582</v>
      </c>
      <c r="AI49" s="15"/>
      <c r="AJ49" s="51">
        <f>AJ$43/F49+(1-1/F49)</f>
        <v>1.6010528634361232</v>
      </c>
      <c r="AK49" s="40">
        <f t="shared" si="15"/>
        <v>0.2220656387665198</v>
      </c>
      <c r="AM49" s="64"/>
      <c r="AQ49" s="8"/>
      <c r="AR49" s="8"/>
      <c r="AT49" s="96"/>
    </row>
    <row r="50" spans="1:52" ht="112" customHeight="1" x14ac:dyDescent="0.2">
      <c r="A50" s="5" t="s">
        <v>345</v>
      </c>
      <c r="B50" s="31" t="str">
        <v>Wärme aus Flusswärmepumpen (Großwärmepumpe 13 MW)</v>
      </c>
      <c r="C50">
        <v>48</v>
      </c>
      <c r="D50" s="5" t="str">
        <f>'ESU Summary_edit'!B50</f>
        <v>heat, at water heat pump, 13MW/MJ/DE U</v>
      </c>
      <c r="E50" s="5" t="str">
        <f>CED_edit!B51</f>
        <v>1 MJ heat, at water heat pump, 13MW/MJ/DE U (of project 000 primary energy factors various projects)</v>
      </c>
      <c r="F50" s="42">
        <f>0.227/0.0926</f>
        <v>2.451403887688985</v>
      </c>
      <c r="G50" t="s">
        <v>138</v>
      </c>
      <c r="H50" s="30">
        <v>1</v>
      </c>
      <c r="I50">
        <v>1</v>
      </c>
      <c r="J50">
        <v>1</v>
      </c>
      <c r="K50" t="s">
        <v>245</v>
      </c>
      <c r="S50" s="8">
        <f>'ESU Summary_edit'!I50</f>
        <v>0.88024777063510029</v>
      </c>
      <c r="T50" s="8">
        <f>'ESU Summary_edit'!J50</f>
        <v>0.72774009291910013</v>
      </c>
      <c r="U50" s="7">
        <f>'ESU Summary_edit'!K50</f>
        <v>4.8258793000000001E-2</v>
      </c>
      <c r="V50" s="7">
        <f>'ESU Summary_edit'!L50</f>
        <v>6.0337372E-2</v>
      </c>
      <c r="W50" s="5" t="s">
        <v>290</v>
      </c>
      <c r="Y50" s="47">
        <f>(1-1/F50)</f>
        <v>0.5920704845814978</v>
      </c>
      <c r="Z50" s="8">
        <f>S50/I50+Y50</f>
        <v>1.4723182552165981</v>
      </c>
      <c r="AA50" s="8">
        <f t="shared" si="7"/>
        <v>1.3198105775005979</v>
      </c>
      <c r="AB50" s="7">
        <f t="shared" si="11"/>
        <v>0.1737316548</v>
      </c>
      <c r="AC50" s="7">
        <f t="shared" si="12"/>
        <v>0.2172145392</v>
      </c>
      <c r="AD50" s="83">
        <f>$AB$42/F50</f>
        <v>0.19404013038766518</v>
      </c>
      <c r="AE50" s="83">
        <f>AC50/AB50</f>
        <v>1.2502876315203324</v>
      </c>
      <c r="AF50" s="40" t="s">
        <v>465</v>
      </c>
      <c r="AG50" s="40" t="s">
        <v>259</v>
      </c>
      <c r="AH50" s="40">
        <f>AC42/F50</f>
        <v>0.21736412456387666</v>
      </c>
      <c r="AI50" s="15"/>
      <c r="AJ50" s="51">
        <f>AJ$43/F50+(1-1/F50)</f>
        <v>1.6812422907488984</v>
      </c>
      <c r="AK50" s="40">
        <f t="shared" si="15"/>
        <v>0.25169251101321582</v>
      </c>
      <c r="AM50" s="64" t="s">
        <v>436</v>
      </c>
      <c r="AN50" s="9" t="s">
        <v>435</v>
      </c>
      <c r="AQ50" s="8">
        <f>Z50</f>
        <v>1.4723182552165981</v>
      </c>
      <c r="AR50" s="8">
        <f t="shared" ref="AR50:AT50" si="17">AA50</f>
        <v>1.3198105775005979</v>
      </c>
      <c r="AS50" s="7">
        <f t="shared" si="17"/>
        <v>0.1737316548</v>
      </c>
      <c r="AT50" s="96">
        <f t="shared" si="17"/>
        <v>0.2172145392</v>
      </c>
      <c r="AV50" s="84">
        <f>AQ50/AJ50-1</f>
        <v>-0.12426765415188101</v>
      </c>
      <c r="AW50" s="84">
        <f>AR50/AJ50-1</f>
        <v>-0.21497895647587062</v>
      </c>
      <c r="AX50" s="84">
        <f>AS50/AK50-1</f>
        <v>-0.3097464278908254</v>
      </c>
      <c r="AY50" s="84">
        <f>AT50/AK50-1</f>
        <v>-0.13698449617917108</v>
      </c>
      <c r="AZ50" s="31" t="s">
        <v>489</v>
      </c>
    </row>
    <row r="51" spans="1:52" ht="147" customHeight="1" x14ac:dyDescent="0.2">
      <c r="A51" s="5" t="s">
        <v>346</v>
      </c>
      <c r="B51" s="31" t="str">
        <v>Strom aus Tiefengeothermie (Open Loop / Hydrothermal - Klassische Tiefengeothermie)</v>
      </c>
      <c r="C51">
        <v>49</v>
      </c>
      <c r="D51" s="5" t="str">
        <f>'ESU Summary_edit'!B51</f>
        <v>electricity, high voltage {DE}| electricity production, deep geothermal | Cut-off, U</v>
      </c>
      <c r="E51" s="5" t="str">
        <f>CED_edit!B52</f>
        <v>1 kWh Electricity, high voltage {DE}| electricity production, deep geothermal | Cut-off, U (of project Ecoinvent 3 - allocation, cut-off by classification - unit)</v>
      </c>
      <c r="G51" t="s">
        <v>207</v>
      </c>
      <c r="H51" s="30">
        <v>3.6</v>
      </c>
      <c r="I51">
        <v>3.6</v>
      </c>
      <c r="J51">
        <v>3.6</v>
      </c>
      <c r="K51" t="s">
        <v>258</v>
      </c>
      <c r="S51" s="8">
        <f>'ESU Summary_edit'!I51</f>
        <v>1.076974847342</v>
      </c>
      <c r="T51" s="8">
        <f>'ESU Summary_edit'!J51</f>
        <v>26.802906679014001</v>
      </c>
      <c r="U51" s="7">
        <f>'ESU Summary_edit'!K51</f>
        <v>6.7600979000000005E-2</v>
      </c>
      <c r="V51" s="7">
        <f>'ESU Summary_edit'!L51</f>
        <v>7.6744628999999995E-2</v>
      </c>
      <c r="W51" s="5" t="s">
        <v>292</v>
      </c>
      <c r="Y51" s="47">
        <f>1</f>
        <v>1</v>
      </c>
      <c r="Z51" s="8">
        <f>S51/I51+Y51</f>
        <v>1.2991596798172222</v>
      </c>
      <c r="AA51" s="8">
        <f>T51/3.6</f>
        <v>7.4452518552816667</v>
      </c>
      <c r="AB51" s="7">
        <f t="shared" si="11"/>
        <v>6.7600979000000005E-2</v>
      </c>
      <c r="AC51" s="7">
        <f t="shared" si="12"/>
        <v>7.6744628999999995E-2</v>
      </c>
      <c r="AF51" s="31" t="s">
        <v>466</v>
      </c>
      <c r="AG51" s="31" t="s">
        <v>259</v>
      </c>
      <c r="AJ51" s="51">
        <f>1.07/0.15</f>
        <v>7.1333333333333337</v>
      </c>
      <c r="AK51" s="40">
        <f>0.039/0.15</f>
        <v>0.26</v>
      </c>
      <c r="AM51" s="64"/>
      <c r="AQ51" s="8">
        <f t="shared" ref="AQ51:AQ52" si="18">Z51</f>
        <v>1.2991596798172222</v>
      </c>
      <c r="AR51" s="8">
        <f t="shared" ref="AR51:AR52" si="19">AA51</f>
        <v>7.4452518552816667</v>
      </c>
      <c r="AS51" s="7">
        <f t="shared" ref="AS51:AS52" si="20">AB51</f>
        <v>6.7600979000000005E-2</v>
      </c>
      <c r="AT51" s="96">
        <f t="shared" ref="AT51:AT52" si="21">AC51</f>
        <v>7.6744628999999995E-2</v>
      </c>
    </row>
    <row r="52" spans="1:52" ht="30" customHeight="1" x14ac:dyDescent="0.2">
      <c r="A52" s="5" t="s">
        <v>347</v>
      </c>
      <c r="B52" s="31" t="str">
        <v>Wärme aus thermischer Abfallbehandlung (Mittlere Temperatur ca. 80 °C)</v>
      </c>
      <c r="C52">
        <v>50</v>
      </c>
      <c r="D52" s="5" t="str">
        <f>'ESU Summary_edit'!B52</f>
        <v>heat from waste, at municipal waste incineration plant/CH U</v>
      </c>
      <c r="E52" s="5" t="str">
        <f>CED_edit!B53</f>
        <v>1 MJ Heat from waste, at municipal waste incineration plant/CH U (of project ESU database 2022 UVEK)</v>
      </c>
      <c r="G52" t="s">
        <v>138</v>
      </c>
      <c r="H52" s="30">
        <v>1</v>
      </c>
      <c r="I52">
        <v>1</v>
      </c>
      <c r="J52">
        <v>1</v>
      </c>
      <c r="K52" t="s">
        <v>245</v>
      </c>
      <c r="S52" s="8">
        <f>'ESU Summary_edit'!I52</f>
        <v>0</v>
      </c>
      <c r="T52" s="8">
        <f>'ESU Summary_edit'!J52</f>
        <v>1</v>
      </c>
      <c r="U52" s="7">
        <f>'ESU Summary_edit'!K52</f>
        <v>0</v>
      </c>
      <c r="V52" s="7">
        <f>'ESU Summary_edit'!L52</f>
        <v>0</v>
      </c>
      <c r="W52" s="5" t="s">
        <v>291</v>
      </c>
      <c r="Y52" s="47">
        <v>1</v>
      </c>
      <c r="Z52" s="8">
        <f>S52/I52</f>
        <v>0</v>
      </c>
      <c r="AA52" s="8">
        <f>T52/J52</f>
        <v>1</v>
      </c>
      <c r="AB52" s="7">
        <f t="shared" si="11"/>
        <v>0</v>
      </c>
      <c r="AC52" s="7">
        <f t="shared" si="12"/>
        <v>0</v>
      </c>
      <c r="AF52" s="31" t="s">
        <v>764</v>
      </c>
      <c r="AJ52" s="51"/>
      <c r="AK52" s="40"/>
      <c r="AM52" s="64"/>
      <c r="AQ52" s="8">
        <f t="shared" si="18"/>
        <v>0</v>
      </c>
      <c r="AR52" s="8">
        <f t="shared" si="19"/>
        <v>1</v>
      </c>
      <c r="AS52" s="7">
        <f t="shared" si="20"/>
        <v>0</v>
      </c>
      <c r="AT52" s="96">
        <f t="shared" si="21"/>
        <v>0</v>
      </c>
    </row>
    <row r="53" spans="1:52" ht="30" customHeight="1" x14ac:dyDescent="0.2">
      <c r="A53" s="5" t="s">
        <v>654</v>
      </c>
      <c r="B53" s="31" t="str">
        <v>Brennelement SWR, UO2 4.0% &amp; MOX, ab Brennelementfabrik</v>
      </c>
      <c r="C53">
        <v>51</v>
      </c>
      <c r="D53" s="5" t="str">
        <f>'ESU Summary_edit'!B53</f>
        <v>fuel elements BWR, UO2 4.0% &amp; MOX, at nuclear fuel fabrication plant</v>
      </c>
      <c r="E53" s="5" t="str">
        <f>CED_edit!B54</f>
        <v>1 kg Fuel elements BWR, UO2 4.0% &amp; MOX, at nuclear fuel fabrication plant/DE U (of project ESU database 2023 (UVEK18))</v>
      </c>
      <c r="G53" t="s">
        <v>194</v>
      </c>
      <c r="I53">
        <f>'Side calculations'!J5</f>
        <v>4415552.5573408566</v>
      </c>
      <c r="J53">
        <f>I53</f>
        <v>4415552.5573408566</v>
      </c>
      <c r="K53" t="s">
        <v>247</v>
      </c>
      <c r="S53" s="8">
        <f>'ESU Summary_edit'!I53</f>
        <v>4722202.739649999</v>
      </c>
      <c r="T53" s="8">
        <f>'ESU Summary_edit'!J53</f>
        <v>4720911.5</v>
      </c>
      <c r="U53" s="7">
        <f>'ESU Summary_edit'!K53</f>
        <v>2890.2044999999998</v>
      </c>
      <c r="V53" s="7">
        <f>'ESU Summary_edit'!L53</f>
        <v>3191.9665</v>
      </c>
      <c r="Z53" s="8">
        <f>S53/I53</f>
        <v>1.069447748232401</v>
      </c>
      <c r="AA53" s="8">
        <f>T53/J53</f>
        <v>1.0691553183194442</v>
      </c>
      <c r="AB53" s="7">
        <f t="shared" si="11"/>
        <v>2.3563837288499995E-3</v>
      </c>
      <c r="AC53" s="7">
        <f t="shared" si="12"/>
        <v>2.6024102874499999E-3</v>
      </c>
      <c r="AJ53" s="51"/>
      <c r="AK53" s="40"/>
      <c r="AM53" s="64"/>
      <c r="AQ53" s="8"/>
      <c r="AR53" s="8"/>
      <c r="AT53" s="96"/>
    </row>
    <row r="54" spans="1:52" ht="30" customHeight="1" x14ac:dyDescent="0.2">
      <c r="A54" s="5" t="s">
        <v>655</v>
      </c>
      <c r="B54" s="31" t="str">
        <v>Brennelement DWR, UO2 4.0% &amp; MOX, ab Brennelementfabrik</v>
      </c>
      <c r="C54">
        <v>52</v>
      </c>
      <c r="D54" s="5" t="str">
        <f>'ESU Summary_edit'!B54</f>
        <v>fuel elements PWR, UO2 4.0% &amp; MOX, at nuclear fuel fabrication plant</v>
      </c>
      <c r="E54" s="5" t="str">
        <f>CED_edit!B55</f>
        <v>1 kg Fuel elements PWR, UO2 4.0% &amp; MOX, at nuclear fuel fabrication plant/DE U (of project ESU database 2023 (UVEK18))</v>
      </c>
      <c r="G54" t="s">
        <v>194</v>
      </c>
      <c r="I54">
        <f>'Side calculations'!J6</f>
        <v>4311893.6400000006</v>
      </c>
      <c r="J54">
        <f>I54</f>
        <v>4311893.6400000006</v>
      </c>
      <c r="K54" t="s">
        <v>247</v>
      </c>
      <c r="S54" s="8">
        <f>'ESU Summary_edit'!I54</f>
        <v>4459905.6191199999</v>
      </c>
      <c r="T54" s="8">
        <f>'ESU Summary_edit'!J54</f>
        <v>4458680.4000000004</v>
      </c>
      <c r="U54" s="7">
        <f>'ESU Summary_edit'!K54</f>
        <v>2731.3634000000002</v>
      </c>
      <c r="V54" s="7">
        <f>'ESU Summary_edit'!L54</f>
        <v>3016.6217999999999</v>
      </c>
      <c r="Z54" s="8">
        <f>S54/I54</f>
        <v>1.0343264448239033</v>
      </c>
      <c r="AA54" s="8">
        <f>T54/J54+Y54</f>
        <v>1.0340422960896596</v>
      </c>
      <c r="AB54" s="7">
        <f t="shared" si="11"/>
        <v>2.2804153026371957E-3</v>
      </c>
      <c r="AC54" s="7">
        <f t="shared" si="12"/>
        <v>2.518577540794814E-3</v>
      </c>
      <c r="AJ54" s="51"/>
      <c r="AK54" s="40"/>
      <c r="AM54" s="64" t="s">
        <v>660</v>
      </c>
      <c r="AN54" s="9" t="s">
        <v>661</v>
      </c>
      <c r="AO54" s="102">
        <f>(I53+I54)/(2*3.6)</f>
        <v>1212145.3051862302</v>
      </c>
      <c r="AP54" s="102">
        <f>(J53+J54)/(2*3.6)</f>
        <v>1212145.3051862302</v>
      </c>
      <c r="AQ54" s="8">
        <f>(Z54+Z53)/2</f>
        <v>1.0518870965281522</v>
      </c>
      <c r="AR54" s="8">
        <f t="shared" ref="AR54:AT54" si="22">(AA54+AA53)/2</f>
        <v>1.0515988072045519</v>
      </c>
      <c r="AS54" s="7">
        <f t="shared" si="22"/>
        <v>2.3183995157435976E-3</v>
      </c>
      <c r="AT54" s="96">
        <f t="shared" si="22"/>
        <v>2.5604939141224067E-3</v>
      </c>
    </row>
    <row r="55" spans="1:52" ht="30" customHeight="1" x14ac:dyDescent="0.2">
      <c r="D55" s="5"/>
      <c r="E55" s="5"/>
      <c r="Z55" s="8"/>
      <c r="AA55" s="8"/>
      <c r="AB55" s="7"/>
      <c r="AC55" s="7"/>
      <c r="AJ55" s="51"/>
      <c r="AK55" s="40"/>
      <c r="AM55" s="64"/>
      <c r="AQ55" s="8"/>
      <c r="AR55" s="8"/>
      <c r="AT55" s="96"/>
    </row>
    <row r="56" spans="1:52" ht="30" customHeight="1" x14ac:dyDescent="0.2">
      <c r="D56" s="5"/>
      <c r="Z56" s="8"/>
      <c r="AA56" s="8"/>
      <c r="AB56" s="7"/>
      <c r="AC56" s="7"/>
      <c r="AM56" s="64"/>
      <c r="AQ56" s="8"/>
      <c r="AR56" s="8"/>
      <c r="AT56" s="96"/>
    </row>
    <row r="57" spans="1:52" ht="30" customHeight="1" x14ac:dyDescent="0.2">
      <c r="A57" s="5" t="s">
        <v>348</v>
      </c>
      <c r="G57" t="s">
        <v>138</v>
      </c>
      <c r="H57" s="30">
        <v>1</v>
      </c>
      <c r="K57" t="s">
        <v>245</v>
      </c>
      <c r="Y57" s="47">
        <f>0.14/0.6</f>
        <v>0.23333333333333336</v>
      </c>
      <c r="Z57" s="8">
        <f>(Z51-Y51)*0.14/0.9</f>
        <v>4.6535950193790136E-2</v>
      </c>
      <c r="AA57" s="8">
        <f>(AA51-CED_edit!AY73/3.6)*0.14/0.9</f>
        <v>4.1613904154925961E-2</v>
      </c>
      <c r="AB57" s="7">
        <f>AB51*0.14/0.9</f>
        <v>1.0515707844444448E-2</v>
      </c>
      <c r="AC57" s="7">
        <f>AC51*0.14/0.9</f>
        <v>1.1938053400000001E-2</v>
      </c>
      <c r="AG57" s="31" t="s">
        <v>259</v>
      </c>
      <c r="AJ57" s="42">
        <v>1.07</v>
      </c>
      <c r="AK57" s="83">
        <v>3.9E-2</v>
      </c>
      <c r="AM57" s="67" t="s">
        <v>267</v>
      </c>
      <c r="AN57" s="103" t="s">
        <v>355</v>
      </c>
      <c r="AO57" s="104"/>
      <c r="AP57" s="104"/>
      <c r="AQ57" s="105">
        <f>Z57</f>
        <v>4.6535950193790136E-2</v>
      </c>
      <c r="AR57" s="105">
        <f>AA57</f>
        <v>4.1613904154925961E-2</v>
      </c>
      <c r="AS57" s="106">
        <f t="shared" ref="AS57:AT57" si="23">AB57</f>
        <v>1.0515707844444448E-2</v>
      </c>
      <c r="AT57" s="107">
        <f t="shared" si="23"/>
        <v>1.1938053400000001E-2</v>
      </c>
      <c r="AV57" s="84">
        <f>AQ57/AJ57-1</f>
        <v>-0.9565084577628129</v>
      </c>
      <c r="AW57" s="84">
        <f>AR57/AJ57-1</f>
        <v>-0.96110850078978882</v>
      </c>
      <c r="AX57" s="84">
        <f>AS57/AK57-1</f>
        <v>-0.73036646552706541</v>
      </c>
      <c r="AY57" s="84">
        <f>AT57/AK57-1</f>
        <v>-0.6938960666666667</v>
      </c>
      <c r="AZ57" s="31" t="s">
        <v>490</v>
      </c>
    </row>
    <row r="60" spans="1:52" ht="30" customHeight="1" x14ac:dyDescent="0.2">
      <c r="L60"/>
      <c r="M60"/>
      <c r="R60"/>
    </row>
    <row r="61" spans="1:52" ht="30" customHeight="1" x14ac:dyDescent="0.2">
      <c r="I61" s="5"/>
      <c r="J61" s="5"/>
      <c r="K61" s="5"/>
      <c r="L61" s="5"/>
      <c r="M61"/>
      <c r="N61" s="5"/>
      <c r="Q61" s="108"/>
      <c r="R61" s="108"/>
    </row>
    <row r="62" spans="1:52" ht="30" customHeight="1" x14ac:dyDescent="0.2">
      <c r="I62" s="5"/>
      <c r="J62" s="5"/>
      <c r="K62" s="5"/>
      <c r="L62" s="5"/>
      <c r="M62"/>
      <c r="N62" s="5"/>
      <c r="Q62" s="108"/>
      <c r="R62" s="108"/>
    </row>
    <row r="63" spans="1:52" ht="30" customHeight="1" x14ac:dyDescent="0.2">
      <c r="L63"/>
      <c r="M63"/>
      <c r="R63"/>
    </row>
    <row r="64" spans="1:52" ht="30" customHeight="1" x14ac:dyDescent="0.2">
      <c r="L64"/>
      <c r="M64"/>
      <c r="R64"/>
    </row>
    <row r="65" spans="12:18" ht="30" customHeight="1" x14ac:dyDescent="0.2">
      <c r="L65"/>
      <c r="M65"/>
      <c r="N65" s="5"/>
      <c r="R65"/>
    </row>
  </sheetData>
  <mergeCells count="4">
    <mergeCell ref="Z1:AC1"/>
    <mergeCell ref="AJ1:AK1"/>
    <mergeCell ref="AQ1:AT1"/>
    <mergeCell ref="AV1:AY1"/>
  </mergeCells>
  <conditionalFormatting sqref="Z52 Z54:Z55">
    <cfRule type="cellIs" dxfId="43" priority="72" stopIfTrue="1" operator="lessThan">
      <formula>$AK52*0.5</formula>
    </cfRule>
    <cfRule type="cellIs" dxfId="42" priority="73" operator="greaterThan">
      <formula>$AK52*1.5</formula>
    </cfRule>
  </conditionalFormatting>
  <conditionalFormatting sqref="Z2:AA2">
    <cfRule type="cellIs" dxfId="41" priority="69" operator="lessThan">
      <formula>1</formula>
    </cfRule>
  </conditionalFormatting>
  <conditionalFormatting sqref="Z3:AA57">
    <cfRule type="cellIs" dxfId="40" priority="74" operator="lessThan">
      <formula>$AJ3*0.5</formula>
    </cfRule>
    <cfRule type="cellIs" dxfId="39" priority="75" operator="greaterThan">
      <formula>$AJ3*1.5</formula>
    </cfRule>
    <cfRule type="cellIs" dxfId="38" priority="81" operator="lessThan">
      <formula>1</formula>
    </cfRule>
  </conditionalFormatting>
  <conditionalFormatting sqref="Z3:AA118">
    <cfRule type="cellIs" dxfId="37" priority="68" operator="between">
      <formula>1</formula>
      <formula>1.1</formula>
    </cfRule>
  </conditionalFormatting>
  <conditionalFormatting sqref="AB3:AC57">
    <cfRule type="cellIs" dxfId="36" priority="54" operator="lessThan">
      <formula>$AK3*0.5</formula>
    </cfRule>
    <cfRule type="cellIs" dxfId="35" priority="55" stopIfTrue="1" operator="greaterThan">
      <formula>$AK$3*1.5</formula>
    </cfRule>
  </conditionalFormatting>
  <conditionalFormatting sqref="AQ2:AR2">
    <cfRule type="cellIs" dxfId="34" priority="70" operator="between">
      <formula>1</formula>
      <formula>1.15</formula>
    </cfRule>
  </conditionalFormatting>
  <conditionalFormatting sqref="AQ2:AR3">
    <cfRule type="cellIs" dxfId="33" priority="52" operator="lessThan">
      <formula>1</formula>
    </cfRule>
  </conditionalFormatting>
  <conditionalFormatting sqref="AQ3:AR3">
    <cfRule type="cellIs" dxfId="32" priority="47" operator="between">
      <formula>1</formula>
      <formula>1.1</formula>
    </cfRule>
    <cfRule type="cellIs" dxfId="31" priority="48" operator="lessThan">
      <formula>$AJ3*0.5</formula>
    </cfRule>
    <cfRule type="cellIs" dxfId="30" priority="49" operator="greaterThan">
      <formula>$AJ3*1.5</formula>
    </cfRule>
  </conditionalFormatting>
  <conditionalFormatting sqref="AQ7:AR7">
    <cfRule type="cellIs" dxfId="29" priority="44" operator="lessThan">
      <formula>1</formula>
    </cfRule>
  </conditionalFormatting>
  <conditionalFormatting sqref="AQ7:AR8">
    <cfRule type="cellIs" dxfId="28" priority="40" operator="lessThan">
      <formula>$AJ7*0.5</formula>
    </cfRule>
    <cfRule type="cellIs" dxfId="27" priority="41" operator="greaterThan">
      <formula>$AJ7*1.5</formula>
    </cfRule>
  </conditionalFormatting>
  <conditionalFormatting sqref="AQ8:AR8">
    <cfRule type="cellIs" dxfId="26" priority="36" operator="lessThan">
      <formula>1</formula>
    </cfRule>
  </conditionalFormatting>
  <conditionalFormatting sqref="AQ10:AR12">
    <cfRule type="cellIs" dxfId="25" priority="28" operator="lessThan">
      <formula>1</formula>
    </cfRule>
    <cfRule type="cellIs" dxfId="24" priority="29" operator="lessThan">
      <formula>$AJ10*0.5</formula>
    </cfRule>
    <cfRule type="cellIs" dxfId="23" priority="30" operator="greaterThan">
      <formula>$AJ10*1.5</formula>
    </cfRule>
  </conditionalFormatting>
  <conditionalFormatting sqref="AQ17:AR17">
    <cfRule type="cellIs" dxfId="22" priority="19" operator="between">
      <formula>1</formula>
      <formula>1.1</formula>
    </cfRule>
    <cfRule type="cellIs" dxfId="21" priority="20" operator="lessThan">
      <formula>1</formula>
    </cfRule>
    <cfRule type="cellIs" dxfId="20" priority="21" operator="lessThan">
      <formula>$AJ17*0.5</formula>
    </cfRule>
    <cfRule type="cellIs" dxfId="19" priority="22" operator="greaterThan">
      <formula>$AJ17*1.5</formula>
    </cfRule>
  </conditionalFormatting>
  <conditionalFormatting sqref="AQ22:AR22">
    <cfRule type="cellIs" dxfId="18" priority="11" operator="between">
      <formula>1</formula>
      <formula>1.1</formula>
    </cfRule>
    <cfRule type="cellIs" dxfId="17" priority="12" operator="lessThan">
      <formula>1</formula>
    </cfRule>
    <cfRule type="cellIs" dxfId="16" priority="13" operator="lessThan">
      <formula>$AJ22*0.5</formula>
    </cfRule>
    <cfRule type="cellIs" dxfId="15" priority="14" operator="greaterThan">
      <formula>$AJ22*1.5</formula>
    </cfRule>
  </conditionalFormatting>
  <conditionalFormatting sqref="AQ24:AR24">
    <cfRule type="cellIs" dxfId="14" priority="3" operator="between">
      <formula>1</formula>
      <formula>1.1</formula>
    </cfRule>
    <cfRule type="cellIs" dxfId="13" priority="4" operator="lessThan">
      <formula>1</formula>
    </cfRule>
    <cfRule type="cellIs" dxfId="12" priority="5" operator="lessThan">
      <formula>$AJ24*0.5</formula>
    </cfRule>
    <cfRule type="cellIs" dxfId="11" priority="6" operator="greaterThan">
      <formula>$AJ24*1.5</formula>
    </cfRule>
  </conditionalFormatting>
  <conditionalFormatting sqref="AR9:AT9 AQ7:AR12">
    <cfRule type="cellIs" dxfId="10" priority="27" operator="between">
      <formula>1</formula>
      <formula>1.1</formula>
    </cfRule>
  </conditionalFormatting>
  <conditionalFormatting sqref="AS3:AT3">
    <cfRule type="cellIs" dxfId="9" priority="45" operator="lessThan">
      <formula>$AK3*0.5</formula>
    </cfRule>
    <cfRule type="cellIs" dxfId="8" priority="46" stopIfTrue="1" operator="greaterThan">
      <formula>$AK$3*1.5</formula>
    </cfRule>
  </conditionalFormatting>
  <conditionalFormatting sqref="AS7:AT12">
    <cfRule type="cellIs" dxfId="7" priority="25" operator="lessThan">
      <formula>$AK7*0.5</formula>
    </cfRule>
    <cfRule type="cellIs" dxfId="6" priority="26" stopIfTrue="1" operator="greaterThan">
      <formula>$AK$3*1.5</formula>
    </cfRule>
  </conditionalFormatting>
  <conditionalFormatting sqref="AS17:AT17">
    <cfRule type="cellIs" dxfId="5" priority="17" operator="lessThan">
      <formula>$AK17*0.5</formula>
    </cfRule>
    <cfRule type="cellIs" dxfId="4" priority="18" stopIfTrue="1" operator="greaterThan">
      <formula>$AK$3*1.5</formula>
    </cfRule>
  </conditionalFormatting>
  <conditionalFormatting sqref="AS22:AT22">
    <cfRule type="cellIs" dxfId="3" priority="9" operator="lessThan">
      <formula>$AK22*0.5</formula>
    </cfRule>
    <cfRule type="cellIs" dxfId="2" priority="10" stopIfTrue="1" operator="greaterThan">
      <formula>$AK$3*1.5</formula>
    </cfRule>
  </conditionalFormatting>
  <conditionalFormatting sqref="AS24:AT24">
    <cfRule type="cellIs" dxfId="1" priority="1" operator="lessThan">
      <formula>$AK24*0.5</formula>
    </cfRule>
    <cfRule type="cellIs" dxfId="0" priority="2" stopIfTrue="1" operator="greaterThan">
      <formula>$AK$3*1.5</formula>
    </cfRule>
  </conditionalFormatting>
  <pageMargins left="0.7" right="0.7" top="0.78740157499999996" bottom="0.78740157499999996"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DC4D-2782-1B46-B2E7-CF290FB94233}">
  <dimension ref="A1:S56"/>
  <sheetViews>
    <sheetView workbookViewId="0">
      <pane ySplit="1" topLeftCell="A2" activePane="bottomLeft" state="frozen"/>
      <selection pane="bottomLeft" activeCell="D1" sqref="D1"/>
    </sheetView>
  </sheetViews>
  <sheetFormatPr baseColWidth="10" defaultColWidth="10.83203125" defaultRowHeight="15" x14ac:dyDescent="0.2"/>
  <cols>
    <col min="1" max="2" width="37" style="5" customWidth="1"/>
    <col min="3" max="3" width="5.33203125" style="31" customWidth="1"/>
    <col min="4" max="5" width="10.83203125" style="51"/>
    <col min="6" max="6" width="10.83203125" style="8"/>
    <col min="7" max="7" width="13.6640625" style="8" bestFit="1" customWidth="1"/>
    <col min="8" max="9" width="10.83203125" style="7"/>
    <col min="11" max="12" width="10.83203125" style="116"/>
    <col min="13" max="13" width="25.33203125" style="116" customWidth="1"/>
    <col min="14" max="14" width="17.5" style="116" customWidth="1"/>
    <col min="15" max="18" width="10.83203125" style="132"/>
  </cols>
  <sheetData>
    <row r="1" spans="1:19" ht="192" x14ac:dyDescent="0.2">
      <c r="A1" s="122" t="str" cm="1">
        <f t="array" ref="A1:A56">Assessment!A2:A57</f>
        <v>Name</v>
      </c>
      <c r="B1" s="92" t="str">
        <f>Assessment!B2</f>
        <v>Datensatzname (deutsch)</v>
      </c>
      <c r="C1" s="123" t="str" cm="1">
        <f t="array" ref="C1:C56">Assessment!G2:G57</f>
        <v>Unit</v>
      </c>
      <c r="D1" s="124" t="str" cm="1">
        <f t="array" ref="D1:E56">Assessment!I2:J57</f>
        <v>CExD raw substance: Specific Energy (Higher Heating Value) in MJ/unit
(if used in calculation)</v>
      </c>
      <c r="E1" s="124" t="str">
        <v>CED raw substance: Specific Energy (Lower Heating Value) in MJ/unit
(if used in calculation)</v>
      </c>
      <c r="F1" s="125" t="str" cm="1">
        <f t="array" ref="F1:I56">Assessment!Z2:AC57</f>
        <v>REF in MJ/MJ 
(without Carnot factor for thermals sources (geothermal, solar thermal, waste heat)</v>
      </c>
      <c r="G1" s="125" t="str">
        <v>CED in MJ/MJ</v>
      </c>
      <c r="H1" s="126" t="str">
        <v>GHG emissions (GWP 100) in kg_CO2eq/kWh</v>
      </c>
      <c r="I1" s="127" t="str">
        <v>GHG emissions (GWP 20) in kg_CO2eq/kWh</v>
      </c>
      <c r="K1" s="112" t="str">
        <f>Assessment!AM2</f>
        <v>Mittelwerte (deutsch)</v>
      </c>
      <c r="L1" s="113" t="str">
        <f>Assessment!AN2</f>
        <v>Mean values</v>
      </c>
      <c r="M1" s="113" t="str">
        <f>Assessment!AO2</f>
        <v>Specific exergy (kWh/unit)</v>
      </c>
      <c r="N1" s="113" t="str">
        <f>Assessment!AP2</f>
        <v>Higher heating value</v>
      </c>
      <c r="O1" s="130" t="str">
        <f>Assessment!AQ2</f>
        <v>CExD in MJ/MJ 
(without Carnot factor for thermals sources (geothermal, solar thermal, waste heat)</v>
      </c>
      <c r="P1" s="130" t="str">
        <f>Assessment!AR2</f>
        <v>CED in MJ/MJ</v>
      </c>
      <c r="Q1" s="130" t="str">
        <f>Assessment!AS2</f>
        <v>GWP 100 in kgCO2eq/kWh</v>
      </c>
      <c r="R1" s="131" t="str">
        <f>Assessment!AT2</f>
        <v>GWP 20 in kg CO2eq/kWh</v>
      </c>
    </row>
    <row r="2" spans="1:19" ht="16" x14ac:dyDescent="0.2">
      <c r="A2" s="71" t="str">
        <v>Heating oil (USA)</v>
      </c>
      <c r="B2" s="9" t="str">
        <f>Assessment!B3</f>
        <v>Heizöl (USA)</v>
      </c>
      <c r="C2" s="31" t="str">
        <v>kg</v>
      </c>
      <c r="D2" s="51">
        <v>46.5</v>
      </c>
      <c r="E2" s="51">
        <v>45.8</v>
      </c>
      <c r="F2" s="8">
        <v>1.2497532363892472</v>
      </c>
      <c r="G2" s="8">
        <v>1.2524177031484718</v>
      </c>
      <c r="H2" s="7">
        <v>0.33515933973799128</v>
      </c>
      <c r="I2" s="96">
        <v>0.36632445327510921</v>
      </c>
      <c r="K2" s="114" t="str">
        <f>Assessment!AM3</f>
        <v>Heizöl</v>
      </c>
      <c r="L2" s="115" t="str">
        <f>Assessment!AN3</f>
        <v>Heating oil</v>
      </c>
      <c r="M2" s="115">
        <f>Assessment!AO3</f>
        <v>12.916666666666666</v>
      </c>
      <c r="N2" s="115">
        <f>Assessment!AP3</f>
        <v>12.722222222222221</v>
      </c>
      <c r="O2" s="132">
        <f>Assessment!AQ3</f>
        <v>1.2235188466946234</v>
      </c>
      <c r="P2" s="132">
        <f>Assessment!AR3</f>
        <v>1.2247815328269653</v>
      </c>
      <c r="Q2" s="132">
        <f>Assessment!AS3</f>
        <v>0.32913329443231443</v>
      </c>
      <c r="R2" s="133">
        <f>Assessment!AT3</f>
        <v>0.36111117203056775</v>
      </c>
      <c r="S2">
        <v>1</v>
      </c>
    </row>
    <row r="3" spans="1:19" ht="16" x14ac:dyDescent="0.2">
      <c r="A3" s="71" t="str">
        <v>Fuel oil (Saudi Arabia)</v>
      </c>
      <c r="B3" s="9" t="str">
        <f>Assessment!B4</f>
        <v>Heizöl (Saudi Arabien)</v>
      </c>
      <c r="C3" s="31" t="str">
        <v>kg</v>
      </c>
      <c r="D3" s="51">
        <v>46.5</v>
      </c>
      <c r="E3" s="51">
        <v>45.8</v>
      </c>
      <c r="F3" s="8">
        <v>1.1869894797827956</v>
      </c>
      <c r="G3" s="8">
        <v>1.1875402954759828</v>
      </c>
      <c r="H3" s="7">
        <v>0.31711997947598258</v>
      </c>
      <c r="I3" s="96">
        <v>0.33994250017467253</v>
      </c>
      <c r="K3" s="114">
        <f>Assessment!AM4</f>
        <v>0</v>
      </c>
      <c r="L3" s="115">
        <f>Assessment!AN4</f>
        <v>0</v>
      </c>
      <c r="M3" s="115">
        <f>Assessment!AO4</f>
        <v>0</v>
      </c>
      <c r="N3" s="115">
        <f>Assessment!AP4</f>
        <v>0</v>
      </c>
      <c r="O3" s="132">
        <f>Assessment!AQ4</f>
        <v>0</v>
      </c>
      <c r="P3" s="132">
        <f>Assessment!AR4</f>
        <v>0</v>
      </c>
      <c r="Q3" s="132">
        <f>Assessment!AS4</f>
        <v>0</v>
      </c>
      <c r="R3" s="133">
        <f>Assessment!AT4</f>
        <v>0</v>
      </c>
    </row>
    <row r="4" spans="1:19" ht="16" x14ac:dyDescent="0.2">
      <c r="A4" s="71" t="str">
        <v>Fuel oil (Russia)</v>
      </c>
      <c r="B4" s="9" t="str">
        <f>Assessment!B5</f>
        <v>Heizöl (Russland)</v>
      </c>
      <c r="C4" s="31" t="str">
        <v>kg</v>
      </c>
      <c r="D4" s="51">
        <v>46.5</v>
      </c>
      <c r="E4" s="51">
        <v>45.8</v>
      </c>
      <c r="F4" s="8">
        <v>1.2280274575290322</v>
      </c>
      <c r="G4" s="8">
        <v>1.2295814253733626</v>
      </c>
      <c r="H4" s="7">
        <v>0.34025722113537121</v>
      </c>
      <c r="I4" s="96">
        <v>0.39439645938864631</v>
      </c>
      <c r="K4" s="114">
        <f>Assessment!AM5</f>
        <v>0</v>
      </c>
      <c r="L4" s="115">
        <f>Assessment!AN5</f>
        <v>0</v>
      </c>
      <c r="M4" s="115">
        <f>Assessment!AO5</f>
        <v>0</v>
      </c>
      <c r="N4" s="115">
        <f>Assessment!AP5</f>
        <v>0</v>
      </c>
      <c r="O4" s="132">
        <f>Assessment!AQ5</f>
        <v>0</v>
      </c>
      <c r="P4" s="132">
        <f>Assessment!AR5</f>
        <v>0</v>
      </c>
      <c r="Q4" s="132">
        <f>Assessment!AS5</f>
        <v>0</v>
      </c>
      <c r="R4" s="133">
        <f>Assessment!AT5</f>
        <v>0</v>
      </c>
    </row>
    <row r="5" spans="1:19" ht="16" x14ac:dyDescent="0.2">
      <c r="A5" s="71" t="str">
        <v>Fuel oil (from Canadian oil sands)</v>
      </c>
      <c r="B5" s="9" t="str">
        <f>Assessment!B6</f>
        <v>Heizöl (Kanada)</v>
      </c>
      <c r="C5" s="31" t="str">
        <v>kg</v>
      </c>
      <c r="D5" s="51">
        <v>46.5</v>
      </c>
      <c r="E5" s="51">
        <v>45.8</v>
      </c>
      <c r="F5" s="8">
        <v>1.2293052130774191</v>
      </c>
      <c r="G5" s="8">
        <v>1.2295867073100437</v>
      </c>
      <c r="H5" s="7">
        <v>0.32399663737991269</v>
      </c>
      <c r="I5" s="96">
        <v>0.34378127528384284</v>
      </c>
      <c r="K5" s="114">
        <f>Assessment!AM6</f>
        <v>0</v>
      </c>
      <c r="L5" s="115">
        <f>Assessment!AN6</f>
        <v>0</v>
      </c>
      <c r="M5" s="115">
        <f>Assessment!AO6</f>
        <v>0</v>
      </c>
      <c r="N5" s="115">
        <f>Assessment!AP6</f>
        <v>0</v>
      </c>
      <c r="O5" s="132">
        <f>Assessment!AQ6</f>
        <v>0</v>
      </c>
      <c r="P5" s="132">
        <f>Assessment!AR6</f>
        <v>0</v>
      </c>
      <c r="Q5" s="132">
        <f>Assessment!AS6</f>
        <v>0</v>
      </c>
      <c r="R5" s="133">
        <f>Assessment!AT6</f>
        <v>0</v>
      </c>
    </row>
    <row r="6" spans="1:19" ht="16" x14ac:dyDescent="0.2">
      <c r="A6" s="71" t="str">
        <v>Heavy oil</v>
      </c>
      <c r="B6" s="9" t="str">
        <f>Assessment!B7</f>
        <v xml:space="preserve">Schweröl </v>
      </c>
      <c r="C6" s="31" t="str">
        <v>kg</v>
      </c>
      <c r="D6" s="51">
        <v>46.5</v>
      </c>
      <c r="E6" s="51">
        <v>45.8</v>
      </c>
      <c r="F6" s="8">
        <v>1.1589155233978492</v>
      </c>
      <c r="G6" s="8">
        <v>1.1609346952925763</v>
      </c>
      <c r="H6" s="7">
        <v>0.35084364602620088</v>
      </c>
      <c r="I6" s="96">
        <v>0.3963204786026201</v>
      </c>
      <c r="K6" s="114" t="str">
        <f>Assessment!AM7</f>
        <v>Schweröl</v>
      </c>
      <c r="L6" s="115" t="str">
        <f>Assessment!AN7</f>
        <v>Heavy oil</v>
      </c>
      <c r="M6" s="115">
        <f>Assessment!AO7</f>
        <v>12.916666666666666</v>
      </c>
      <c r="N6" s="115">
        <f>Assessment!AP7</f>
        <v>12.722222222222221</v>
      </c>
      <c r="O6" s="132">
        <f>Assessment!AQ7</f>
        <v>1.1589155233978492</v>
      </c>
      <c r="P6" s="132">
        <f>Assessment!AR7</f>
        <v>1.1609346952925763</v>
      </c>
      <c r="Q6" s="132">
        <f>Assessment!AS7</f>
        <v>0.35084364602620088</v>
      </c>
      <c r="R6" s="133">
        <f>Assessment!AT7</f>
        <v>0.3963204786026201</v>
      </c>
    </row>
    <row r="7" spans="1:19" ht="32" x14ac:dyDescent="0.2">
      <c r="A7" s="71" t="str">
        <v>Natural gas (pipeline from Europe (excluding Russia)</v>
      </c>
      <c r="B7" s="9" t="str">
        <f>Assessment!B8</f>
        <v>Erdgas (Pipeline aus Europa (ohne Russland)</v>
      </c>
      <c r="C7" s="31" t="str">
        <v>m3</v>
      </c>
      <c r="D7" s="51">
        <v>36</v>
      </c>
      <c r="E7" s="51">
        <v>38.299999999999997</v>
      </c>
      <c r="F7" s="8">
        <v>1.0486404996647221</v>
      </c>
      <c r="G7" s="8">
        <v>1.0443066796125327</v>
      </c>
      <c r="H7" s="7">
        <v>0.21126215561357703</v>
      </c>
      <c r="I7" s="96">
        <v>0.21279489368146215</v>
      </c>
      <c r="K7" s="114" t="str">
        <f>Assessment!AM8</f>
        <v>Erdgas (Pipeline)</v>
      </c>
      <c r="L7" s="115" t="str">
        <f>Assessment!AN8</f>
        <v>Natural gas (pipeline)</v>
      </c>
      <c r="M7" s="115">
        <f>Assessment!AO8</f>
        <v>14.044943820224718</v>
      </c>
      <c r="N7" s="115">
        <f>Assessment!AP8</f>
        <v>14.94225967540574</v>
      </c>
      <c r="O7" s="132">
        <f>Assessment!AQ8</f>
        <v>1.1295429833459723</v>
      </c>
      <c r="P7" s="132">
        <f>Assessment!AR8</f>
        <v>1.1240307840557442</v>
      </c>
      <c r="Q7" s="132">
        <f>Assessment!AS8</f>
        <v>0.2479312179634465</v>
      </c>
      <c r="R7" s="133">
        <f>Assessment!AT8</f>
        <v>0.28954749853785899</v>
      </c>
    </row>
    <row r="8" spans="1:19" ht="16" x14ac:dyDescent="0.2">
      <c r="A8" s="71" t="str">
        <v>Natural gas (pipeline from Russia)</v>
      </c>
      <c r="B8" s="9" t="str">
        <f>Assessment!B9</f>
        <v>Erdgas (Pipeline aus Russland)</v>
      </c>
      <c r="C8" s="31" t="str">
        <v>m3</v>
      </c>
      <c r="D8" s="51">
        <v>36</v>
      </c>
      <c r="E8" s="51">
        <v>38.299999999999997</v>
      </c>
      <c r="F8" s="8">
        <v>1.2104454670272224</v>
      </c>
      <c r="G8" s="8">
        <v>1.203754888498956</v>
      </c>
      <c r="H8" s="7">
        <v>0.28460028031331597</v>
      </c>
      <c r="I8" s="96">
        <v>0.36630010339425589</v>
      </c>
      <c r="K8" s="114">
        <f>Assessment!AM9</f>
        <v>0</v>
      </c>
      <c r="L8" s="115">
        <f>Assessment!AN9</f>
        <v>0</v>
      </c>
      <c r="M8" s="115">
        <f>Assessment!AO9</f>
        <v>0</v>
      </c>
      <c r="N8" s="115">
        <f>Assessment!AP9</f>
        <v>0</v>
      </c>
      <c r="O8" s="132">
        <f>Assessment!AQ9</f>
        <v>0</v>
      </c>
      <c r="P8" s="132">
        <f>Assessment!AR9</f>
        <v>0</v>
      </c>
      <c r="Q8" s="132">
        <f>Assessment!AS9</f>
        <v>0</v>
      </c>
      <c r="R8" s="133">
        <f>Assessment!AT9</f>
        <v>0</v>
      </c>
    </row>
    <row r="9" spans="1:19" ht="32" x14ac:dyDescent="0.2">
      <c r="A9" s="71" t="str">
        <v>Natural gas (liquefied gas from USA, conventional production)</v>
      </c>
      <c r="B9" s="9" t="str">
        <f>Assessment!B10</f>
        <v>Erdgas (Flüssiggas aus USA, konventionelle Förderung)</v>
      </c>
      <c r="C9" s="31" t="str">
        <v>m3</v>
      </c>
      <c r="D9" s="51">
        <v>36</v>
      </c>
      <c r="E9" s="51">
        <v>38.299999999999997</v>
      </c>
      <c r="F9" s="8">
        <v>1.4149236372169449</v>
      </c>
      <c r="G9" s="8">
        <v>1.3917991356412531</v>
      </c>
      <c r="H9" s="7">
        <v>0.30438172950391645</v>
      </c>
      <c r="I9" s="96">
        <v>0.35510312584856396</v>
      </c>
      <c r="K9" s="114" t="str">
        <f>Assessment!AM10</f>
        <v>Erdgas (LNG)</v>
      </c>
      <c r="L9" s="115" t="str">
        <f>Assessment!AN10</f>
        <v>Natural gas (LNG)</v>
      </c>
      <c r="M9" s="115">
        <f>Assessment!AO10</f>
        <v>14.044943820224718</v>
      </c>
      <c r="N9" s="115">
        <f>Assessment!AP10</f>
        <v>14.94225967540574</v>
      </c>
      <c r="O9" s="132">
        <f>Assessment!AQ10</f>
        <v>1.3953677882568054</v>
      </c>
      <c r="P9" s="132">
        <f>Assessment!AR10</f>
        <v>1.371551011056658</v>
      </c>
      <c r="Q9" s="132">
        <f>Assessment!AS10</f>
        <v>0.29557412835509139</v>
      </c>
      <c r="R9" s="133">
        <f>Assessment!AT10</f>
        <v>0.33846526997389037</v>
      </c>
    </row>
    <row r="10" spans="1:19" ht="32" x14ac:dyDescent="0.2">
      <c r="A10" s="71" t="str">
        <v>Natural gas (liquefied gas from Qatar or similar)</v>
      </c>
      <c r="B10" s="9" t="str">
        <f>Assessment!B11</f>
        <v>Erdgas (Flüssiggas aus Katar o.ä.)</v>
      </c>
      <c r="C10" s="31" t="str">
        <v>m3</v>
      </c>
      <c r="D10" s="51">
        <v>36</v>
      </c>
      <c r="E10" s="51">
        <v>38.299999999999997</v>
      </c>
      <c r="F10" s="8">
        <v>1.3758119392966659</v>
      </c>
      <c r="G10" s="8">
        <v>1.3513028864720629</v>
      </c>
      <c r="H10" s="7">
        <v>0.28676652720626633</v>
      </c>
      <c r="I10" s="96">
        <v>0.32182741409921672</v>
      </c>
      <c r="K10" s="114" t="str">
        <f>Assessment!AM11</f>
        <v>Erdgas (Mix)</v>
      </c>
      <c r="L10" s="115" t="str">
        <f>Assessment!AN11</f>
        <v>Natural gas (mix)</v>
      </c>
      <c r="M10" s="115">
        <f>Assessment!AO11</f>
        <v>14.044943820224718</v>
      </c>
      <c r="N10" s="115">
        <f>Assessment!AP11</f>
        <v>14.94225967540574</v>
      </c>
      <c r="O10" s="132">
        <f>Assessment!AQ11</f>
        <v>1.2624553858013887</v>
      </c>
      <c r="P10" s="132">
        <f>Assessment!AR11</f>
        <v>1.2477908975562011</v>
      </c>
      <c r="Q10" s="132">
        <f>Assessment!AS11</f>
        <v>0.27175267315926893</v>
      </c>
      <c r="R10" s="133">
        <f>Assessment!AT11</f>
        <v>0.31400638425587468</v>
      </c>
      <c r="S10">
        <v>1</v>
      </c>
    </row>
    <row r="11" spans="1:19" ht="32" x14ac:dyDescent="0.2">
      <c r="A11" s="71" t="str">
        <v>Hard coal (Russia)</v>
      </c>
      <c r="B11" s="9" t="str">
        <f>Assessment!B12</f>
        <v>Steinkohle (Russland)</v>
      </c>
      <c r="C11" s="31" t="str">
        <v>kg</v>
      </c>
      <c r="D11" s="51">
        <v>24.230999999999998</v>
      </c>
      <c r="E11" s="51">
        <v>23.493000000000002</v>
      </c>
      <c r="F11" s="8">
        <v>1.1986711933638727</v>
      </c>
      <c r="G11" s="8">
        <v>1.1965029160047673</v>
      </c>
      <c r="H11" s="7">
        <v>0.40964257489464945</v>
      </c>
      <c r="I11" s="96">
        <v>0.487855949942536</v>
      </c>
      <c r="K11" s="114" t="str">
        <f>Assessment!AM12</f>
        <v>Steinkohle (Mix)</v>
      </c>
      <c r="L11" s="115" t="str">
        <f>Assessment!AN12</f>
        <v>Hard coal (mix)</v>
      </c>
      <c r="M11" s="115">
        <f>Assessment!AO12</f>
        <v>6.5699062222222215</v>
      </c>
      <c r="N11" s="115">
        <f>Assessment!AP12</f>
        <v>6.3698075555555551</v>
      </c>
      <c r="O11" s="132">
        <f>Assessment!AQ12</f>
        <v>1.1645409778230671</v>
      </c>
      <c r="P11" s="132">
        <f>Assessment!AR12</f>
        <v>1.1641913597942823</v>
      </c>
      <c r="Q11" s="132">
        <f>Assessment!AS12</f>
        <v>0.38757865444207656</v>
      </c>
      <c r="R11" s="133">
        <f>Assessment!AT12</f>
        <v>0.41969459043766993</v>
      </c>
      <c r="S11">
        <v>1</v>
      </c>
    </row>
    <row r="12" spans="1:19" ht="16" x14ac:dyDescent="0.2">
      <c r="A12" s="71" t="str">
        <v>Hard coal (USA)</v>
      </c>
      <c r="B12" s="9" t="str">
        <f>Assessment!B13</f>
        <v>Steinkohle (USA)</v>
      </c>
      <c r="C12" s="31" t="str">
        <v>kg</v>
      </c>
      <c r="D12" s="51">
        <v>26.004000000000001</v>
      </c>
      <c r="E12" s="51">
        <v>25.212000000000003</v>
      </c>
      <c r="F12" s="8">
        <v>1.1078611209075526</v>
      </c>
      <c r="G12" s="8">
        <v>1.1081280325329206</v>
      </c>
      <c r="H12" s="7">
        <v>0.36987274869109943</v>
      </c>
      <c r="I12" s="96">
        <v>0.39516666539742978</v>
      </c>
      <c r="K12" s="114">
        <f>Assessment!AM13</f>
        <v>0</v>
      </c>
      <c r="L12" s="115">
        <f>Assessment!AN13</f>
        <v>0</v>
      </c>
      <c r="M12" s="115">
        <f>Assessment!AO13</f>
        <v>0</v>
      </c>
      <c r="N12" s="115">
        <f>Assessment!AP13</f>
        <v>0</v>
      </c>
      <c r="O12" s="132">
        <f>Assessment!AQ13</f>
        <v>0</v>
      </c>
      <c r="P12" s="132">
        <f>Assessment!AR13</f>
        <v>0</v>
      </c>
      <c r="Q12" s="132">
        <f>Assessment!AS13</f>
        <v>0</v>
      </c>
      <c r="R12" s="133">
        <f>Assessment!AT13</f>
        <v>0</v>
      </c>
    </row>
    <row r="13" spans="1:19" ht="16" x14ac:dyDescent="0.2">
      <c r="A13" s="71" t="str">
        <v>Hard coal (Australia)</v>
      </c>
      <c r="B13" s="9" t="str">
        <f>Assessment!B14</f>
        <v>Steinkohle (Australien)</v>
      </c>
      <c r="C13" s="31" t="str">
        <v>kg</v>
      </c>
      <c r="D13" s="51">
        <v>27.185999999999996</v>
      </c>
      <c r="E13" s="51">
        <v>26.358000000000001</v>
      </c>
      <c r="F13" s="8">
        <v>1.117368073540425</v>
      </c>
      <c r="G13" s="8">
        <v>1.1177809643288565</v>
      </c>
      <c r="H13" s="7">
        <v>0.37361142818119736</v>
      </c>
      <c r="I13" s="96">
        <v>0.39660488140223082</v>
      </c>
      <c r="K13" s="114">
        <f>Assessment!AM14</f>
        <v>0</v>
      </c>
      <c r="L13" s="115">
        <f>Assessment!AN14</f>
        <v>0</v>
      </c>
      <c r="M13" s="115">
        <f>Assessment!AO14</f>
        <v>0</v>
      </c>
      <c r="N13" s="115">
        <f>Assessment!AP14</f>
        <v>0</v>
      </c>
      <c r="O13" s="132">
        <f>Assessment!AQ14</f>
        <v>0</v>
      </c>
      <c r="P13" s="132">
        <f>Assessment!AR14</f>
        <v>0</v>
      </c>
      <c r="Q13" s="132">
        <f>Assessment!AS14</f>
        <v>0</v>
      </c>
      <c r="R13" s="133">
        <f>Assessment!AT14</f>
        <v>0</v>
      </c>
    </row>
    <row r="14" spans="1:19" ht="16" x14ac:dyDescent="0.2">
      <c r="A14" s="71" t="str">
        <v>Hard coal (Colombia)</v>
      </c>
      <c r="B14" s="9" t="str">
        <f>Assessment!B15</f>
        <v>Steinkohle (Kolumbien)</v>
      </c>
      <c r="C14" s="31" t="str">
        <v>kg</v>
      </c>
      <c r="D14" s="51">
        <v>24.625</v>
      </c>
      <c r="E14" s="51">
        <v>23.875</v>
      </c>
      <c r="F14" s="8">
        <v>1.0803090559394926</v>
      </c>
      <c r="G14" s="8">
        <v>1.0800572294617801</v>
      </c>
      <c r="H14" s="7">
        <v>0.35606269620942405</v>
      </c>
      <c r="I14" s="96">
        <v>0.35987616603141359</v>
      </c>
      <c r="K14" s="114">
        <f>Assessment!AM15</f>
        <v>0</v>
      </c>
      <c r="L14" s="115">
        <f>Assessment!AN15</f>
        <v>0</v>
      </c>
      <c r="M14" s="115">
        <f>Assessment!AO15</f>
        <v>0</v>
      </c>
      <c r="N14" s="115">
        <f>Assessment!AP15</f>
        <v>0</v>
      </c>
      <c r="O14" s="132">
        <f>Assessment!AQ15</f>
        <v>0</v>
      </c>
      <c r="P14" s="132">
        <f>Assessment!AR15</f>
        <v>0</v>
      </c>
      <c r="Q14" s="132">
        <f>Assessment!AS15</f>
        <v>0</v>
      </c>
      <c r="R14" s="133">
        <f>Assessment!AT15</f>
        <v>0</v>
      </c>
    </row>
    <row r="15" spans="1:19" ht="16" x14ac:dyDescent="0.2">
      <c r="A15" s="71" t="str">
        <v>Hard coal (Indonesia)</v>
      </c>
      <c r="B15" s="9" t="str">
        <f>Assessment!B16</f>
        <v>Steinkohle (Indonesien)</v>
      </c>
      <c r="C15" s="31" t="str">
        <v>kg</v>
      </c>
      <c r="D15" s="51">
        <v>16.212312000000001</v>
      </c>
      <c r="E15" s="51">
        <v>15.718536000000002</v>
      </c>
      <c r="F15" s="8">
        <v>1.3184954453639925</v>
      </c>
      <c r="G15" s="8">
        <v>1.3184876566430868</v>
      </c>
      <c r="H15" s="7">
        <v>0.4287038242340126</v>
      </c>
      <c r="I15" s="96">
        <v>0.45896928941473936</v>
      </c>
      <c r="K15" s="114">
        <f>Assessment!AM16</f>
        <v>0</v>
      </c>
      <c r="L15" s="115">
        <f>Assessment!AN16</f>
        <v>0</v>
      </c>
      <c r="M15" s="115">
        <f>Assessment!AO16</f>
        <v>0</v>
      </c>
      <c r="N15" s="115">
        <f>Assessment!AP16</f>
        <v>0</v>
      </c>
      <c r="O15" s="132">
        <f>Assessment!AQ16</f>
        <v>0</v>
      </c>
      <c r="P15" s="132">
        <f>Assessment!AR16</f>
        <v>0</v>
      </c>
      <c r="Q15" s="132">
        <f>Assessment!AS16</f>
        <v>0</v>
      </c>
      <c r="R15" s="133">
        <f>Assessment!AT16</f>
        <v>0</v>
      </c>
    </row>
    <row r="16" spans="1:19" ht="32" x14ac:dyDescent="0.2">
      <c r="A16" s="71" t="str">
        <v>Lignite (Germany)</v>
      </c>
      <c r="B16" s="9" t="str">
        <f>Assessment!B17</f>
        <v>Braunkohle (Deutschland)</v>
      </c>
      <c r="C16" s="31" t="str">
        <v>kg</v>
      </c>
      <c r="D16" s="51">
        <v>10.3</v>
      </c>
      <c r="E16" s="51">
        <v>9.9</v>
      </c>
      <c r="F16" s="8">
        <v>1.0408075551877671</v>
      </c>
      <c r="G16" s="8">
        <v>1.0408075046035354</v>
      </c>
      <c r="H16" s="7">
        <v>0.40921582581818183</v>
      </c>
      <c r="I16" s="96">
        <v>0.41464641381818185</v>
      </c>
      <c r="K16" s="114" t="str">
        <f>Assessment!AM17</f>
        <v>Braunkohle (Mix)</v>
      </c>
      <c r="L16" s="115" t="str">
        <f>Assessment!AN17</f>
        <v>Lignite (mix)</v>
      </c>
      <c r="M16" s="115">
        <f>Assessment!AO17</f>
        <v>2.8611111111111112</v>
      </c>
      <c r="N16" s="115">
        <f>Assessment!AP17</f>
        <v>2.75</v>
      </c>
      <c r="O16" s="132">
        <f>Assessment!AQ17</f>
        <v>1.1549113977596897</v>
      </c>
      <c r="P16" s="132">
        <f>Assessment!AR17</f>
        <v>1.1545131766431314</v>
      </c>
      <c r="Q16" s="132">
        <f>Assessment!AS17</f>
        <v>0.43509356712727276</v>
      </c>
      <c r="R16" s="133">
        <f>Assessment!AT17</f>
        <v>0.44442178160000001</v>
      </c>
      <c r="S16">
        <v>1</v>
      </c>
    </row>
    <row r="17" spans="1:19" ht="16" x14ac:dyDescent="0.2">
      <c r="A17" s="71" t="str">
        <v>Lignite (Poland)</v>
      </c>
      <c r="B17" s="9" t="str">
        <f>Assessment!B18</f>
        <v>Braunkohle (Polen)</v>
      </c>
      <c r="C17" s="31" t="str">
        <v>kg</v>
      </c>
      <c r="D17" s="51">
        <v>10.3</v>
      </c>
      <c r="E17" s="51">
        <v>9.9</v>
      </c>
      <c r="F17" s="8">
        <v>1.069397471323301</v>
      </c>
      <c r="G17" s="8">
        <v>1.0687027512575755</v>
      </c>
      <c r="H17" s="7">
        <v>0.41691217345454551</v>
      </c>
      <c r="I17" s="96">
        <v>0.42330969418181824</v>
      </c>
      <c r="K17" s="114">
        <f>Assessment!AM18</f>
        <v>0</v>
      </c>
      <c r="L17" s="115">
        <f>Assessment!AN18</f>
        <v>0</v>
      </c>
      <c r="M17" s="115">
        <f>Assessment!AO18</f>
        <v>0</v>
      </c>
      <c r="N17" s="115">
        <f>Assessment!AP18</f>
        <v>0</v>
      </c>
      <c r="O17" s="132">
        <f>Assessment!AQ18</f>
        <v>0</v>
      </c>
      <c r="P17" s="132">
        <f>Assessment!AR18</f>
        <v>0</v>
      </c>
      <c r="Q17" s="132">
        <f>Assessment!AS18</f>
        <v>0</v>
      </c>
      <c r="R17" s="133">
        <f>Assessment!AT18</f>
        <v>0</v>
      </c>
    </row>
    <row r="18" spans="1:19" ht="16" x14ac:dyDescent="0.2">
      <c r="A18" s="71" t="str">
        <v>Lignite (USA)</v>
      </c>
      <c r="B18" s="9" t="str">
        <f>Assessment!B19</f>
        <v>Braunkohle (USA)</v>
      </c>
      <c r="C18" s="31" t="str">
        <v>kg</v>
      </c>
      <c r="D18" s="51">
        <v>10.3</v>
      </c>
      <c r="E18" s="51">
        <v>9.9</v>
      </c>
      <c r="F18" s="8">
        <v>1.1593681312398063</v>
      </c>
      <c r="G18" s="8">
        <v>1.1610624521040405</v>
      </c>
      <c r="H18" s="7">
        <v>0.4384882072727273</v>
      </c>
      <c r="I18" s="96">
        <v>0.44789312727272734</v>
      </c>
      <c r="K18" s="114">
        <f>Assessment!AM19</f>
        <v>0</v>
      </c>
      <c r="L18" s="115">
        <f>Assessment!AN19</f>
        <v>0</v>
      </c>
      <c r="M18" s="115">
        <f>Assessment!AO19</f>
        <v>0</v>
      </c>
      <c r="N18" s="115">
        <f>Assessment!AP19</f>
        <v>0</v>
      </c>
      <c r="O18" s="132">
        <f>Assessment!AQ19</f>
        <v>0</v>
      </c>
      <c r="P18" s="132">
        <f>Assessment!AR19</f>
        <v>0</v>
      </c>
      <c r="Q18" s="132">
        <f>Assessment!AS19</f>
        <v>0</v>
      </c>
      <c r="R18" s="133">
        <f>Assessment!AT19</f>
        <v>0</v>
      </c>
    </row>
    <row r="19" spans="1:19" ht="16" x14ac:dyDescent="0.2">
      <c r="A19" s="71" t="str">
        <v>Lignite (China)</v>
      </c>
      <c r="B19" s="9" t="str">
        <f>Assessment!B20</f>
        <v>Braunkohle (China)</v>
      </c>
      <c r="C19" s="31" t="str">
        <v>kg</v>
      </c>
      <c r="D19" s="51">
        <v>10.3</v>
      </c>
      <c r="E19" s="51">
        <v>9.9</v>
      </c>
      <c r="F19" s="8">
        <v>1.2448611415223303</v>
      </c>
      <c r="G19" s="8">
        <v>1.2464123026232321</v>
      </c>
      <c r="H19" s="7">
        <v>0.4634770981818182</v>
      </c>
      <c r="I19" s="96">
        <v>0.47812766545454549</v>
      </c>
      <c r="K19" s="114">
        <f>Assessment!AM20</f>
        <v>0</v>
      </c>
      <c r="L19" s="115">
        <f>Assessment!AN20</f>
        <v>0</v>
      </c>
      <c r="M19" s="115">
        <f>Assessment!AO20</f>
        <v>0</v>
      </c>
      <c r="N19" s="115">
        <f>Assessment!AP20</f>
        <v>0</v>
      </c>
      <c r="O19" s="132">
        <f>Assessment!AQ20</f>
        <v>0</v>
      </c>
      <c r="P19" s="132">
        <f>Assessment!AR20</f>
        <v>0</v>
      </c>
      <c r="Q19" s="132">
        <f>Assessment!AS20</f>
        <v>0</v>
      </c>
      <c r="R19" s="133">
        <f>Assessment!AT20</f>
        <v>0</v>
      </c>
    </row>
    <row r="20" spans="1:19" ht="16" x14ac:dyDescent="0.2">
      <c r="A20" s="71" t="str">
        <v>Lignite (Russia)</v>
      </c>
      <c r="B20" s="9" t="str">
        <f>Assessment!B21</f>
        <v>Braunkohle (Russland)</v>
      </c>
      <c r="C20" s="31" t="str">
        <v>kg</v>
      </c>
      <c r="D20" s="51">
        <v>10.3</v>
      </c>
      <c r="E20" s="51">
        <v>9.9</v>
      </c>
      <c r="F20" s="8">
        <v>1.2601226895252426</v>
      </c>
      <c r="G20" s="8">
        <v>1.2555808726272728</v>
      </c>
      <c r="H20" s="7">
        <v>0.44737453090909096</v>
      </c>
      <c r="I20" s="96">
        <v>0.45813200727272729</v>
      </c>
      <c r="K20" s="114">
        <f>Assessment!AM21</f>
        <v>0</v>
      </c>
      <c r="L20" s="115">
        <f>Assessment!AN21</f>
        <v>0</v>
      </c>
      <c r="M20" s="115">
        <f>Assessment!AO21</f>
        <v>0</v>
      </c>
      <c r="N20" s="115">
        <f>Assessment!AP21</f>
        <v>0</v>
      </c>
      <c r="O20" s="132">
        <f>Assessment!AQ21</f>
        <v>0</v>
      </c>
      <c r="P20" s="132">
        <f>Assessment!AR21</f>
        <v>0</v>
      </c>
      <c r="Q20" s="132">
        <f>Assessment!AS21</f>
        <v>0</v>
      </c>
      <c r="R20" s="133">
        <f>Assessment!AT21</f>
        <v>0</v>
      </c>
    </row>
    <row r="21" spans="1:19" ht="32" x14ac:dyDescent="0.2">
      <c r="A21" s="71" t="str">
        <v>Biogas (manure and residues, directly from biogas plants)</v>
      </c>
      <c r="B21" s="9" t="str">
        <f>Assessment!B22</f>
        <v>Biogas (Gülle und Reststoffe, direkt aus Biogasanlagen)</v>
      </c>
      <c r="C21" s="31" t="str">
        <v>m3</v>
      </c>
      <c r="D21" s="51">
        <v>26.6</v>
      </c>
      <c r="E21" s="51">
        <v>26.6</v>
      </c>
      <c r="F21" s="8">
        <v>1.1272353586808268</v>
      </c>
      <c r="G21" s="8">
        <v>1.1264827112097744</v>
      </c>
      <c r="H21" s="7">
        <v>5.6136572932330826E-2</v>
      </c>
      <c r="I21" s="96">
        <v>0.10050726857142857</v>
      </c>
      <c r="K21" s="114" t="str">
        <f>Assessment!AM22</f>
        <v>Biogas (Mix)</v>
      </c>
      <c r="L21" s="115" t="str">
        <f>Assessment!AN22</f>
        <v>Biogas (mix)</v>
      </c>
      <c r="M21" s="115">
        <f>Assessment!AO22</f>
        <v>7.3888888888888893</v>
      </c>
      <c r="N21" s="115">
        <f>Assessment!AP22</f>
        <v>7.3888888888888893</v>
      </c>
      <c r="O21" s="132">
        <f>Assessment!AQ22</f>
        <v>1.385102303175</v>
      </c>
      <c r="P21" s="132">
        <f>Assessment!AR22</f>
        <v>1.3461632192176691</v>
      </c>
      <c r="Q21" s="132">
        <f>Assessment!AS22</f>
        <v>9.5669071578947357E-2</v>
      </c>
      <c r="R21" s="133">
        <f>Assessment!AT22</f>
        <v>0.16517332827067668</v>
      </c>
    </row>
    <row r="22" spans="1:19" ht="32" x14ac:dyDescent="0.2">
      <c r="A22" s="71" t="str">
        <v>Biogas (corn and cultivated biomass, directly from biogas plants)</v>
      </c>
      <c r="B22" s="9" t="str">
        <f>Assessment!B23</f>
        <v>Biogas (Mais und Anbaubiomasse, direkt aus Biogasanlagen)</v>
      </c>
      <c r="C22" s="31" t="str">
        <v>m3</v>
      </c>
      <c r="D22" s="51">
        <v>26.6</v>
      </c>
      <c r="E22" s="51">
        <v>26.6</v>
      </c>
      <c r="F22" s="8">
        <v>1.6429692476691731</v>
      </c>
      <c r="G22" s="8">
        <v>1.5658437272255636</v>
      </c>
      <c r="H22" s="7">
        <v>0.13520157022556389</v>
      </c>
      <c r="I22" s="96">
        <v>0.22983938796992481</v>
      </c>
      <c r="K22" s="114">
        <f>Assessment!AM23</f>
        <v>0</v>
      </c>
      <c r="L22" s="115">
        <f>Assessment!AN23</f>
        <v>0</v>
      </c>
      <c r="M22" s="115">
        <f>Assessment!AO23</f>
        <v>0</v>
      </c>
      <c r="N22" s="115">
        <f>Assessment!AP23</f>
        <v>0</v>
      </c>
      <c r="O22" s="132">
        <f>Assessment!AQ23</f>
        <v>0</v>
      </c>
      <c r="P22" s="132">
        <f>Assessment!AR23</f>
        <v>0</v>
      </c>
      <c r="Q22" s="132">
        <f>Assessment!AS23</f>
        <v>0</v>
      </c>
      <c r="R22" s="133">
        <f>Assessment!AT23</f>
        <v>0</v>
      </c>
    </row>
    <row r="23" spans="1:19" ht="48" x14ac:dyDescent="0.2">
      <c r="A23" s="71" t="str">
        <v>Biomethane (liquid manure and residues)</v>
      </c>
      <c r="B23" s="9" t="str">
        <f>Assessment!B24</f>
        <v>Biomethan (Gülle und Reststoffe)</v>
      </c>
      <c r="C23" s="31" t="str">
        <v>m3</v>
      </c>
      <c r="D23" s="51">
        <v>41.6</v>
      </c>
      <c r="E23" s="51">
        <v>41.6</v>
      </c>
      <c r="F23" s="8">
        <v>1.2848885397947107</v>
      </c>
      <c r="G23" s="8">
        <v>1.275705230701923</v>
      </c>
      <c r="H23" s="7">
        <v>9.7887392307692306E-2</v>
      </c>
      <c r="I23" s="96">
        <v>0.19206411057692307</v>
      </c>
      <c r="K23" s="114" t="str">
        <f>Assessment!AM24</f>
        <v>Biomethan(Mix)</v>
      </c>
      <c r="L23" s="115" t="str">
        <f>Assessment!AN24</f>
        <v>Biomethane (mix)</v>
      </c>
      <c r="M23" s="115">
        <f>Assessment!AO24</f>
        <v>11.555555555555555</v>
      </c>
      <c r="N23" s="115">
        <f>Assessment!AP24</f>
        <v>11.555555555555555</v>
      </c>
      <c r="O23" s="132">
        <f>Assessment!AQ24</f>
        <v>1.5205561789598552</v>
      </c>
      <c r="P23" s="132">
        <f>Assessment!AR24</f>
        <v>1.4743049868377405</v>
      </c>
      <c r="Q23" s="132">
        <f>Assessment!AS24</f>
        <v>0.1362619125</v>
      </c>
      <c r="R23" s="133">
        <f>Assessment!AT24</f>
        <v>0.25483598221153847</v>
      </c>
      <c r="S23">
        <v>1</v>
      </c>
    </row>
    <row r="24" spans="1:19" ht="16" x14ac:dyDescent="0.2">
      <c r="A24" s="71" t="str">
        <v>Biomethane (corn and cultivated biomass)</v>
      </c>
      <c r="B24" s="9" t="str">
        <f>Assessment!B25</f>
        <v>Biomethan (Mais und Anbaubiomasse)</v>
      </c>
      <c r="C24" s="31" t="str">
        <v>m3</v>
      </c>
      <c r="D24" s="51">
        <v>41.6</v>
      </c>
      <c r="E24" s="51">
        <v>41.6</v>
      </c>
      <c r="F24" s="8">
        <v>1.7562238181249996</v>
      </c>
      <c r="G24" s="8">
        <v>1.672904742973558</v>
      </c>
      <c r="H24" s="7">
        <v>0.17463643269230769</v>
      </c>
      <c r="I24" s="96">
        <v>0.31760785384615381</v>
      </c>
      <c r="K24" s="114">
        <f>Assessment!AM25</f>
        <v>0</v>
      </c>
      <c r="L24" s="115">
        <f>Assessment!AN25</f>
        <v>0</v>
      </c>
      <c r="M24" s="115">
        <f>Assessment!AO25</f>
        <v>0</v>
      </c>
      <c r="N24" s="115">
        <f>Assessment!AP25</f>
        <v>0</v>
      </c>
      <c r="O24" s="132">
        <f>Assessment!AQ25</f>
        <v>0</v>
      </c>
      <c r="P24" s="132">
        <f>Assessment!AR25</f>
        <v>0</v>
      </c>
      <c r="Q24" s="132">
        <f>Assessment!AS25</f>
        <v>0</v>
      </c>
      <c r="R24" s="133">
        <f>Assessment!AT25</f>
        <v>0</v>
      </c>
    </row>
    <row r="25" spans="1:19" ht="16" x14ac:dyDescent="0.2">
      <c r="A25" s="71" t="str">
        <v>Bio oil (rapeseed oil)</v>
      </c>
      <c r="B25" s="9" t="str">
        <f>Assessment!B26</f>
        <v>Bioöl (Rapsöl)</v>
      </c>
      <c r="C25" s="31" t="str">
        <v>kg</v>
      </c>
      <c r="D25" s="51">
        <v>40.5</v>
      </c>
      <c r="E25" s="51">
        <v>40.5</v>
      </c>
      <c r="F25" s="8">
        <v>1.6491395304345675</v>
      </c>
      <c r="G25" s="8">
        <v>1.5755850859703704</v>
      </c>
      <c r="H25" s="7">
        <v>0.21339960000000002</v>
      </c>
      <c r="I25" s="96">
        <v>0.22628810666666668</v>
      </c>
      <c r="K25" s="114" t="str">
        <f>Assessment!AM26</f>
        <v>Bioöl (Mix)</v>
      </c>
      <c r="L25" s="115" t="str">
        <f>Assessment!AN26</f>
        <v>Bio oil (mix)</v>
      </c>
      <c r="M25" s="115">
        <f>Assessment!AO26</f>
        <v>11.25</v>
      </c>
      <c r="N25" s="115">
        <f>Assessment!AP26</f>
        <v>11.25</v>
      </c>
      <c r="O25" s="132">
        <f>Assessment!AQ26</f>
        <v>1.824962506809876</v>
      </c>
      <c r="P25" s="132">
        <f>Assessment!AR26</f>
        <v>1.7404931248617284</v>
      </c>
      <c r="Q25" s="132">
        <f>Assessment!AS26</f>
        <v>0.18769445333333334</v>
      </c>
      <c r="R25" s="133">
        <f>Assessment!AT26</f>
        <v>0.20114676000000001</v>
      </c>
    </row>
    <row r="26" spans="1:19" ht="16" x14ac:dyDescent="0.2">
      <c r="A26" s="71" t="str">
        <v>Bio oil (palm oil)</v>
      </c>
      <c r="B26" s="9" t="str">
        <f>Assessment!B27</f>
        <v>Bioöl (Palmöl)</v>
      </c>
      <c r="C26" s="31" t="str">
        <v>kg</v>
      </c>
      <c r="D26" s="51">
        <v>40.5</v>
      </c>
      <c r="E26" s="51">
        <v>40.5</v>
      </c>
      <c r="F26" s="8">
        <v>2.0007854831851848</v>
      </c>
      <c r="G26" s="8">
        <v>1.9054011637530863</v>
      </c>
      <c r="H26" s="7">
        <v>0.16198930666666667</v>
      </c>
      <c r="I26" s="96">
        <v>0.17600541333333333</v>
      </c>
      <c r="K26" s="114">
        <f>Assessment!AM27</f>
        <v>0</v>
      </c>
      <c r="L26" s="115">
        <f>Assessment!AN27</f>
        <v>0</v>
      </c>
      <c r="M26" s="115">
        <f>Assessment!AO27</f>
        <v>0</v>
      </c>
      <c r="N26" s="115">
        <f>Assessment!AP27</f>
        <v>0</v>
      </c>
      <c r="O26" s="132">
        <f>Assessment!AQ27</f>
        <v>0</v>
      </c>
      <c r="P26" s="132">
        <f>Assessment!AR27</f>
        <v>0</v>
      </c>
      <c r="Q26" s="132">
        <f>Assessment!AS27</f>
        <v>0</v>
      </c>
      <c r="R26" s="133">
        <f>Assessment!AT27</f>
        <v>0</v>
      </c>
    </row>
    <row r="27" spans="1:19" ht="48" x14ac:dyDescent="0.2">
      <c r="A27" s="71" t="str">
        <v>Wood - chips (cultivated biomass)</v>
      </c>
      <c r="B27" s="9" t="str">
        <f>Assessment!B28</f>
        <v>Holz - Hackschnitzel (Anbaubiomasse)</v>
      </c>
      <c r="C27" s="31" t="str">
        <v>kg</v>
      </c>
      <c r="D27" s="51">
        <v>20.100000000000001</v>
      </c>
      <c r="E27" s="51">
        <v>20.100000000000001</v>
      </c>
      <c r="F27" s="8">
        <v>1.0768605417427859</v>
      </c>
      <c r="G27" s="8">
        <v>1.0259003939487561</v>
      </c>
      <c r="H27" s="7">
        <v>6.6736436417910439E-3</v>
      </c>
      <c r="I27" s="96">
        <v>7.8422362388059687E-3</v>
      </c>
      <c r="K27" s="114" t="str">
        <f>Assessment!AM28</f>
        <v>Holz Hackschnitzel (Mix)</v>
      </c>
      <c r="L27" s="115" t="str">
        <f>Assessment!AN28</f>
        <v>Wood chips (mix)</v>
      </c>
      <c r="M27" s="115">
        <f>Assessment!AO28</f>
        <v>5.608888888888889</v>
      </c>
      <c r="N27" s="115">
        <f>Assessment!AP28</f>
        <v>5.7014814814814825</v>
      </c>
      <c r="O27" s="132">
        <f>Assessment!AQ28</f>
        <v>1.147023695186993</v>
      </c>
      <c r="P27" s="132">
        <f>Assessment!AR28</f>
        <v>1.117683153619309</v>
      </c>
      <c r="Q27" s="132">
        <f>Assessment!AS28</f>
        <v>6.8974411277135618E-3</v>
      </c>
      <c r="R27" s="133">
        <f>Assessment!AT28</f>
        <v>7.6156764112812756E-3</v>
      </c>
    </row>
    <row r="28" spans="1:19" ht="16" x14ac:dyDescent="0.2">
      <c r="A28" s="71" t="str">
        <v>Wood - chips (residual wood)</v>
      </c>
      <c r="B28" s="9" t="str">
        <f>Assessment!B29</f>
        <v>Holz - Hackschnitzel (Restholz)</v>
      </c>
      <c r="C28" s="31" t="str">
        <v>m3</v>
      </c>
      <c r="D28" s="51">
        <v>3842.9136000000003</v>
      </c>
      <c r="E28" s="51">
        <v>3842.9136000000003</v>
      </c>
      <c r="F28" s="8">
        <v>1.0222397329164519</v>
      </c>
      <c r="G28" s="8">
        <v>1.0212839613677498</v>
      </c>
      <c r="H28" s="7">
        <v>4.178122224761961E-3</v>
      </c>
      <c r="I28" s="96">
        <v>4.7925641419572897E-3</v>
      </c>
      <c r="K28" s="114">
        <f>Assessment!AM29</f>
        <v>0</v>
      </c>
      <c r="L28" s="115">
        <f>Assessment!AN29</f>
        <v>0</v>
      </c>
      <c r="M28" s="115">
        <f>Assessment!AO29</f>
        <v>0</v>
      </c>
      <c r="N28" s="115">
        <f>Assessment!AP29</f>
        <v>0</v>
      </c>
      <c r="O28" s="132">
        <f>Assessment!AQ29</f>
        <v>0</v>
      </c>
      <c r="P28" s="132">
        <f>Assessment!AR29</f>
        <v>0</v>
      </c>
      <c r="Q28" s="132">
        <f>Assessment!AS29</f>
        <v>0</v>
      </c>
      <c r="R28" s="133">
        <f>Assessment!AT29</f>
        <v>0</v>
      </c>
    </row>
    <row r="29" spans="1:19" ht="16" x14ac:dyDescent="0.2">
      <c r="A29" s="71" t="str">
        <v>Wood - chips (Canada, cultivated biomass)</v>
      </c>
      <c r="B29" s="9" t="str">
        <f>Assessment!B30</f>
        <v>Holz - Hackschnitzel (Kanada, Anbaubiomasse)</v>
      </c>
      <c r="C29" s="31" t="str">
        <v>kg</v>
      </c>
      <c r="D29" s="51">
        <v>20.100000000000001</v>
      </c>
      <c r="E29" s="51">
        <v>21.1</v>
      </c>
      <c r="F29" s="8">
        <v>1.3419708109017412</v>
      </c>
      <c r="G29" s="8">
        <v>1.3058651055414217</v>
      </c>
      <c r="H29" s="7">
        <v>9.8405575165876769E-3</v>
      </c>
      <c r="I29" s="96">
        <v>1.0212228853080568E-2</v>
      </c>
      <c r="K29" s="114">
        <f>Assessment!AM30</f>
        <v>0</v>
      </c>
      <c r="L29" s="115">
        <f>Assessment!AN30</f>
        <v>0</v>
      </c>
      <c r="M29" s="115">
        <f>Assessment!AO30</f>
        <v>0</v>
      </c>
      <c r="N29" s="115">
        <f>Assessment!AP30</f>
        <v>0</v>
      </c>
      <c r="O29" s="132">
        <f>Assessment!AQ30</f>
        <v>0</v>
      </c>
      <c r="P29" s="132">
        <f>Assessment!AR30</f>
        <v>0</v>
      </c>
      <c r="Q29" s="132">
        <f>Assessment!AS30</f>
        <v>0</v>
      </c>
      <c r="R29" s="133">
        <f>Assessment!AT30</f>
        <v>0</v>
      </c>
    </row>
    <row r="30" spans="1:19" ht="32" x14ac:dyDescent="0.2">
      <c r="A30" s="71" t="str">
        <v>Wood - pellets (waste wood)</v>
      </c>
      <c r="B30" s="9" t="str">
        <f>Assessment!B31</f>
        <v>Holz - Pellets (Restholz)</v>
      </c>
      <c r="C30" s="31" t="str">
        <v>kg</v>
      </c>
      <c r="D30" s="51">
        <v>19.440000000000001</v>
      </c>
      <c r="E30" s="51">
        <v>19.440000000000001</v>
      </c>
      <c r="F30" s="8">
        <v>1.1201132310936213</v>
      </c>
      <c r="G30" s="8">
        <v>1.1147711440406378</v>
      </c>
      <c r="H30" s="7">
        <v>1.8016101666666666E-2</v>
      </c>
      <c r="I30" s="96">
        <v>2.0734029629629627E-2</v>
      </c>
      <c r="K30" s="114" t="str">
        <f>Assessment!AM31</f>
        <v>Holz Pellets (Mix)</v>
      </c>
      <c r="L30" s="115" t="str">
        <f>Assessment!AN31</f>
        <v>Wood pellets (mix)</v>
      </c>
      <c r="M30" s="115">
        <f>Assessment!AO31</f>
        <v>5.4</v>
      </c>
      <c r="N30" s="115">
        <f>Assessment!AP31</f>
        <v>5.4</v>
      </c>
      <c r="O30" s="132">
        <f>Assessment!AQ31</f>
        <v>1.1770146387510285</v>
      </c>
      <c r="P30" s="132">
        <f>Assessment!AR31</f>
        <v>1.145116794014146</v>
      </c>
      <c r="Q30" s="132">
        <f>Assessment!AS31</f>
        <v>1.9922022129629631E-2</v>
      </c>
      <c r="R30" s="133">
        <f>Assessment!AT31</f>
        <v>2.2920037037037034E-2</v>
      </c>
    </row>
    <row r="31" spans="1:19" ht="36" customHeight="1" x14ac:dyDescent="0.2">
      <c r="A31" s="71" t="str">
        <v>Wood - pellets (cultivated biomass)</v>
      </c>
      <c r="B31" s="9" t="str">
        <f>Assessment!B32</f>
        <v>Holz - Pellets (Anbaubiomasse)</v>
      </c>
      <c r="C31" s="31" t="str">
        <v>kg</v>
      </c>
      <c r="D31" s="51">
        <v>19.440000000000001</v>
      </c>
      <c r="E31" s="51">
        <v>19.440000000000001</v>
      </c>
      <c r="F31" s="8">
        <v>1.2339160464084358</v>
      </c>
      <c r="G31" s="8">
        <v>1.1754624439876542</v>
      </c>
      <c r="H31" s="7">
        <v>2.1827942592592593E-2</v>
      </c>
      <c r="I31" s="96">
        <v>2.5106044444444441E-2</v>
      </c>
      <c r="K31" s="114" t="str">
        <f>Assessment!AM32</f>
        <v>Holz (Mix)</v>
      </c>
      <c r="L31" s="115" t="str">
        <f>Assessment!AN32</f>
        <v>Wood (mix)</v>
      </c>
      <c r="M31" s="115">
        <f>Assessment!AO32</f>
        <v>5.5044444444444451</v>
      </c>
      <c r="N31" s="115">
        <f>Assessment!AP32</f>
        <v>5.550740740740741</v>
      </c>
      <c r="O31" s="132">
        <f>Assessment!AQ32</f>
        <v>1.1590200726126072</v>
      </c>
      <c r="P31" s="132">
        <f>Assessment!AR32</f>
        <v>1.1286566097772437</v>
      </c>
      <c r="Q31" s="132">
        <f>Assessment!AS32</f>
        <v>1.2107273528479989E-2</v>
      </c>
      <c r="R31" s="133">
        <f>Assessment!AT32</f>
        <v>1.3737420661583576E-2</v>
      </c>
      <c r="S31">
        <v>1</v>
      </c>
    </row>
    <row r="32" spans="1:19" ht="32" x14ac:dyDescent="0.2">
      <c r="A32" s="71" t="str">
        <v>Green hydrogen (from PV / wind power - for comparison)</v>
      </c>
      <c r="B32" s="9" t="str">
        <f>Assessment!B33</f>
        <v>Grüner Wasserstoff (aus PV / Windstrom - zum Vergleich)</v>
      </c>
      <c r="C32" s="31" t="str">
        <v>kg</v>
      </c>
      <c r="D32" s="51">
        <v>141.80000000000001</v>
      </c>
      <c r="E32" s="51">
        <v>141.80000000000001</v>
      </c>
      <c r="F32" s="8">
        <v>1.7536977578751853</v>
      </c>
      <c r="G32" s="8">
        <v>1.6465052402792666</v>
      </c>
      <c r="H32" s="7">
        <v>4.89902090267983E-2</v>
      </c>
      <c r="I32" s="96">
        <v>5.4853187306064873E-2</v>
      </c>
      <c r="K32" s="114" t="str">
        <f>Assessment!AM33</f>
        <v>Wasserstoff (grün)</v>
      </c>
      <c r="L32" s="115" t="str">
        <f>Assessment!AN33</f>
        <v>Hydrogen (green)</v>
      </c>
      <c r="M32" s="115">
        <f>Assessment!AO33</f>
        <v>39.388888888888893</v>
      </c>
      <c r="N32" s="115">
        <f>Assessment!AP33</f>
        <v>39.388888888888893</v>
      </c>
      <c r="O32" s="132">
        <f>Assessment!AQ33</f>
        <v>1.7536977578751853</v>
      </c>
      <c r="P32" s="132">
        <f>Assessment!AR33</f>
        <v>1.6465052402792666</v>
      </c>
      <c r="Q32" s="132">
        <f>Assessment!AS33</f>
        <v>4.89902090267983E-2</v>
      </c>
      <c r="R32" s="133">
        <f>Assessment!AT33</f>
        <v>5.4853187306064873E-2</v>
      </c>
    </row>
    <row r="33" spans="1:19" s="56" customFormat="1" ht="32" x14ac:dyDescent="0.2">
      <c r="A33" s="128" t="str">
        <v>Blue hydrogen (from natural gas deformation, not further specified)</v>
      </c>
      <c r="B33" s="9" t="str">
        <f>Assessment!B34</f>
        <v>Blauer Wasserstoff (aus Erdölraffinerie, nicht weiter spezifiziert) - alt</v>
      </c>
      <c r="C33" s="52" t="str">
        <v>kg</v>
      </c>
      <c r="D33" s="53">
        <v>141.80000000000001</v>
      </c>
      <c r="E33" s="53">
        <v>141.80000000000001</v>
      </c>
      <c r="F33" s="54">
        <v>0.50097244070013103</v>
      </c>
      <c r="G33" s="54">
        <v>0.51148629768822351</v>
      </c>
      <c r="H33" s="55">
        <v>4.5379662905500696E-2</v>
      </c>
      <c r="I33" s="100">
        <v>6.9671058956276441E-2</v>
      </c>
      <c r="J33" s="56" t="s">
        <v>781</v>
      </c>
      <c r="K33" s="117">
        <f>Assessment!AM34</f>
        <v>0</v>
      </c>
      <c r="L33" s="118">
        <f>Assessment!AN34</f>
        <v>0</v>
      </c>
      <c r="M33" s="118">
        <f>Assessment!AO34</f>
        <v>0</v>
      </c>
      <c r="N33" s="118">
        <f>Assessment!AP34</f>
        <v>0</v>
      </c>
      <c r="O33" s="134">
        <f>Assessment!AQ34</f>
        <v>0</v>
      </c>
      <c r="P33" s="134">
        <f>Assessment!AR34</f>
        <v>0</v>
      </c>
      <c r="Q33" s="134">
        <f>Assessment!AS34</f>
        <v>0</v>
      </c>
      <c r="R33" s="135">
        <f>Assessment!AT34</f>
        <v>0</v>
      </c>
    </row>
    <row r="34" spans="1:19" s="56" customFormat="1" ht="32" x14ac:dyDescent="0.2">
      <c r="A34" s="128" t="str">
        <v>Hydrogen from gas reforming</v>
      </c>
      <c r="B34" s="9" t="str">
        <f>Assessment!B35</f>
        <v>Blauer Wasserstoff (aus Erdölraffinerie, nicht weiter spezifiziert)</v>
      </c>
      <c r="C34" s="52" t="str">
        <v>kg</v>
      </c>
      <c r="D34" s="53">
        <v>141.80000000000001</v>
      </c>
      <c r="E34" s="53">
        <v>141.80000000000001</v>
      </c>
      <c r="F34" s="54">
        <v>1.0652273577856839</v>
      </c>
      <c r="G34" s="54">
        <v>1.0500190218187586</v>
      </c>
      <c r="H34" s="55">
        <v>4.0426154301833564E-2</v>
      </c>
      <c r="I34" s="100">
        <v>4.5450418899858951E-2</v>
      </c>
      <c r="J34" s="56" t="s">
        <v>781</v>
      </c>
      <c r="K34" s="117">
        <f>Assessment!AM35</f>
        <v>0</v>
      </c>
      <c r="L34" s="118">
        <f>Assessment!AN35</f>
        <v>0</v>
      </c>
      <c r="M34" s="118">
        <f>Assessment!AO35</f>
        <v>0</v>
      </c>
      <c r="N34" s="118">
        <f>Assessment!AP35</f>
        <v>0</v>
      </c>
      <c r="O34" s="134">
        <f>Assessment!AQ35</f>
        <v>0</v>
      </c>
      <c r="P34" s="134">
        <f>Assessment!AR35</f>
        <v>0</v>
      </c>
      <c r="Q34" s="134">
        <f>Assessment!AS35</f>
        <v>0</v>
      </c>
      <c r="R34" s="135">
        <f>Assessment!AT35</f>
        <v>0</v>
      </c>
    </row>
    <row r="35" spans="1:19" ht="32" x14ac:dyDescent="0.2">
      <c r="A35" s="71" t="str">
        <v>Electricity from PV (production mix, flat)</v>
      </c>
      <c r="B35" s="9" t="str">
        <f>Assessment!B36</f>
        <v>Strom aus PV (Produktionsmix, flach)</v>
      </c>
      <c r="C35" s="31" t="str">
        <v>kWh</v>
      </c>
      <c r="D35" s="51">
        <v>3.6</v>
      </c>
      <c r="E35" s="51">
        <v>3.6</v>
      </c>
      <c r="F35" s="8">
        <v>1.1876668127711107</v>
      </c>
      <c r="G35" s="8">
        <v>1.1641050233800001</v>
      </c>
      <c r="H35" s="7">
        <v>4.0411085999999999E-2</v>
      </c>
      <c r="I35" s="96">
        <v>4.8742028E-2</v>
      </c>
      <c r="J35" t="s">
        <v>782</v>
      </c>
      <c r="K35" s="114" t="str">
        <f>Assessment!AM36</f>
        <v>PV Strom</v>
      </c>
      <c r="L35" s="115" t="str">
        <f>Assessment!AN36</f>
        <v>PV Power (mix)</v>
      </c>
      <c r="M35" s="115">
        <f>Assessment!AO36</f>
        <v>0</v>
      </c>
      <c r="N35" s="115">
        <f>Assessment!AP36</f>
        <v>0</v>
      </c>
      <c r="O35" s="132">
        <f>Assessment!AQ36</f>
        <v>1.2059235539163891</v>
      </c>
      <c r="P35" s="132">
        <f>Assessment!AR36</f>
        <v>1.1716960480223613</v>
      </c>
      <c r="Q35" s="132">
        <f>Assessment!AS36</f>
        <v>4.1154536999999998E-2</v>
      </c>
      <c r="R35" s="133">
        <f>Assessment!AT36</f>
        <v>4.9260826000000001E-2</v>
      </c>
      <c r="S35">
        <v>1</v>
      </c>
    </row>
    <row r="36" spans="1:19" ht="16" x14ac:dyDescent="0.2">
      <c r="A36" s="71" t="str">
        <v>Electricity from PV (production mix, oblique)</v>
      </c>
      <c r="B36" s="9" t="str">
        <f>Assessment!B37</f>
        <v>Strom aus PV (Produktionsmix, schräg)</v>
      </c>
      <c r="C36" s="31" t="str">
        <v>kWh</v>
      </c>
      <c r="D36" s="51">
        <v>3.6</v>
      </c>
      <c r="E36" s="51">
        <v>3.6</v>
      </c>
      <c r="F36" s="8">
        <v>1.2241802950616671</v>
      </c>
      <c r="G36" s="8">
        <v>1.1792870726647224</v>
      </c>
      <c r="H36" s="7">
        <v>4.1897987999999997E-2</v>
      </c>
      <c r="I36" s="96">
        <v>4.9779624000000001E-2</v>
      </c>
      <c r="K36" s="114">
        <f>Assessment!AM37</f>
        <v>0</v>
      </c>
      <c r="L36" s="115">
        <f>Assessment!AN37</f>
        <v>0</v>
      </c>
      <c r="M36" s="115">
        <f>Assessment!AO37</f>
        <v>0</v>
      </c>
      <c r="N36" s="115">
        <f>Assessment!AP37</f>
        <v>0</v>
      </c>
      <c r="O36" s="132">
        <f>Assessment!AQ37</f>
        <v>0</v>
      </c>
      <c r="P36" s="132">
        <f>Assessment!AR37</f>
        <v>0</v>
      </c>
      <c r="Q36" s="132">
        <f>Assessment!AS37</f>
        <v>0</v>
      </c>
      <c r="R36" s="133">
        <f>Assessment!AT37</f>
        <v>0</v>
      </c>
    </row>
    <row r="37" spans="1:19" ht="32" x14ac:dyDescent="0.2">
      <c r="A37" s="71" t="str">
        <v>Electricity from wind power</v>
      </c>
      <c r="B37" s="9" t="str">
        <f>Assessment!B38</f>
        <v>Strom aus Windkraft</v>
      </c>
      <c r="C37" s="31" t="str">
        <v>kWh</v>
      </c>
      <c r="D37" s="51">
        <v>3.6</v>
      </c>
      <c r="E37" s="51">
        <v>3.6</v>
      </c>
      <c r="F37" s="8">
        <v>1.0561707211113887</v>
      </c>
      <c r="G37" s="8">
        <v>1.0491390568655556</v>
      </c>
      <c r="H37" s="7">
        <v>1.1364337E-2</v>
      </c>
      <c r="I37" s="96">
        <v>1.3202673E-2</v>
      </c>
      <c r="K37" s="114" t="str">
        <f>Assessment!AM38</f>
        <v>Windstrom</v>
      </c>
      <c r="L37" s="115" t="str">
        <f>Assessment!AN38</f>
        <v>Wind Power</v>
      </c>
      <c r="M37" s="115">
        <f>Assessment!AO38</f>
        <v>0</v>
      </c>
      <c r="N37" s="115">
        <f>Assessment!AP38</f>
        <v>0</v>
      </c>
      <c r="O37" s="132">
        <f>Assessment!AQ38</f>
        <v>1.0561707211113887</v>
      </c>
      <c r="P37" s="132">
        <f>Assessment!AR38</f>
        <v>1.0491390568655556</v>
      </c>
      <c r="Q37" s="132">
        <f>Assessment!AS38</f>
        <v>1.1364337E-2</v>
      </c>
      <c r="R37" s="133">
        <f>Assessment!AT38</f>
        <v>1.3202673E-2</v>
      </c>
      <c r="S37">
        <v>1</v>
      </c>
    </row>
    <row r="38" spans="1:19" ht="64" x14ac:dyDescent="0.2">
      <c r="A38" s="71" t="str">
        <v>Electricity from run-of-river power</v>
      </c>
      <c r="B38" s="9" t="str">
        <f>Assessment!B39</f>
        <v>Strom aus Laufwasserkraft</v>
      </c>
      <c r="C38" s="31" t="str">
        <v>kWh</v>
      </c>
      <c r="D38" s="51">
        <v>3.6</v>
      </c>
      <c r="E38" s="51">
        <v>3.6</v>
      </c>
      <c r="F38" s="8">
        <v>1.0657436093875579</v>
      </c>
      <c r="G38" s="8">
        <v>1.0646125901801944</v>
      </c>
      <c r="H38" s="7">
        <v>4.0116214000000001E-3</v>
      </c>
      <c r="I38" s="96">
        <v>5.1771936999999999E-3</v>
      </c>
      <c r="K38" s="114" t="str">
        <f>Assessment!AM39</f>
        <v>Strom aus Wasserkraft (Mix)</v>
      </c>
      <c r="L38" s="115" t="str">
        <f>Assessment!AN39</f>
        <v>Electricity from hydropower (mix)</v>
      </c>
      <c r="M38" s="115">
        <f>Assessment!AO39</f>
        <v>0</v>
      </c>
      <c r="N38" s="115">
        <f>Assessment!AP39</f>
        <v>0</v>
      </c>
      <c r="O38" s="132">
        <f>Assessment!AQ39</f>
        <v>1.0664611486236057</v>
      </c>
      <c r="P38" s="132">
        <f>Assessment!AR39</f>
        <v>1.0653084578564722</v>
      </c>
      <c r="Q38" s="132">
        <f>Assessment!AS39</f>
        <v>1.0500758700000001E-2</v>
      </c>
      <c r="R38" s="133">
        <f>Assessment!AT39</f>
        <v>1.261271835E-2</v>
      </c>
      <c r="S38">
        <v>1</v>
      </c>
    </row>
    <row r="39" spans="1:19" ht="16" x14ac:dyDescent="0.2">
      <c r="A39" s="71" t="str">
        <v>Electricity from hydroelectric power</v>
      </c>
      <c r="B39" s="9" t="str">
        <f>Assessment!B40</f>
        <v>Strom aus Stauwasserkraft</v>
      </c>
      <c r="C39" s="31" t="str">
        <v>kWh</v>
      </c>
      <c r="D39" s="51">
        <v>3.6</v>
      </c>
      <c r="E39" s="51">
        <v>3.6</v>
      </c>
      <c r="F39" s="8">
        <v>1.0671786878596536</v>
      </c>
      <c r="G39" s="8">
        <v>1.06600432553275</v>
      </c>
      <c r="H39" s="7">
        <v>1.6989896000000001E-2</v>
      </c>
      <c r="I39" s="96">
        <v>2.0048243E-2</v>
      </c>
      <c r="K39" s="114">
        <f>Assessment!AM40</f>
        <v>0</v>
      </c>
      <c r="L39" s="115">
        <f>Assessment!AN40</f>
        <v>0</v>
      </c>
      <c r="M39" s="115">
        <f>Assessment!AO40</f>
        <v>0</v>
      </c>
      <c r="N39" s="115">
        <f>Assessment!AP40</f>
        <v>0</v>
      </c>
      <c r="O39" s="132">
        <f>Assessment!AQ40</f>
        <v>0</v>
      </c>
      <c r="P39" s="132">
        <f>Assessment!AR40</f>
        <v>0</v>
      </c>
      <c r="Q39" s="132">
        <f>Assessment!AS40</f>
        <v>0</v>
      </c>
      <c r="R39" s="133">
        <f>Assessment!AT40</f>
        <v>0</v>
      </c>
    </row>
    <row r="40" spans="1:19" ht="16" x14ac:dyDescent="0.2">
      <c r="A40" s="71" t="str">
        <v>Electricity from thermal waste treatment</v>
      </c>
      <c r="B40" s="9" t="str">
        <f>Assessment!B41</f>
        <v>Strom aus thermischer Abfallbehandlung</v>
      </c>
      <c r="C40" s="31" t="str">
        <v>kWh</v>
      </c>
      <c r="D40" s="51">
        <v>3.6</v>
      </c>
      <c r="E40" s="51">
        <v>3.6</v>
      </c>
      <c r="F40" s="8">
        <v>1</v>
      </c>
      <c r="G40" s="8">
        <v>2</v>
      </c>
      <c r="H40" s="7">
        <v>0</v>
      </c>
      <c r="I40" s="96">
        <v>0</v>
      </c>
      <c r="K40" s="114">
        <f>Assessment!AM41</f>
        <v>0</v>
      </c>
      <c r="L40" s="115">
        <f>Assessment!AN41</f>
        <v>0</v>
      </c>
      <c r="M40" s="115">
        <f>Assessment!AO41</f>
        <v>0</v>
      </c>
      <c r="N40" s="115">
        <f>Assessment!AP41</f>
        <v>0</v>
      </c>
      <c r="O40" s="132">
        <f>Assessment!AQ41</f>
        <v>0</v>
      </c>
      <c r="P40" s="132">
        <f>Assessment!AR41</f>
        <v>0</v>
      </c>
      <c r="Q40" s="132">
        <f>Assessment!AS41</f>
        <v>0</v>
      </c>
      <c r="R40" s="133">
        <f>Assessment!AT41</f>
        <v>0</v>
      </c>
    </row>
    <row r="41" spans="1:19" ht="48" x14ac:dyDescent="0.2">
      <c r="A41" s="71" t="str">
        <v>Electricity mix (Germany)</v>
      </c>
      <c r="B41" s="9" t="str">
        <f>Assessment!B42</f>
        <v>Strommix (Deutschland)</v>
      </c>
      <c r="C41" s="31" t="str">
        <v>kWh</v>
      </c>
      <c r="D41" s="51">
        <v>3.6</v>
      </c>
      <c r="E41" s="51">
        <v>3.6</v>
      </c>
      <c r="F41" s="8">
        <v>2.6346506997886143</v>
      </c>
      <c r="G41" s="8">
        <v>2.5514345498516668</v>
      </c>
      <c r="H41" s="7">
        <v>0.47567072999999999</v>
      </c>
      <c r="I41" s="96">
        <v>0.53284726000000004</v>
      </c>
      <c r="K41" s="114" t="str">
        <f>Assessment!AM42</f>
        <v>Strommix 
(DE 2022)</v>
      </c>
      <c r="L41" s="115" t="str">
        <f>Assessment!AN42</f>
        <v>Electricity mix 
(DE 2022)</v>
      </c>
      <c r="M41" s="115">
        <f>Assessment!AO42</f>
        <v>0</v>
      </c>
      <c r="N41" s="115">
        <f>Assessment!AP42</f>
        <v>0</v>
      </c>
      <c r="O41" s="132">
        <f>Assessment!AQ42</f>
        <v>2.6346506997886143</v>
      </c>
      <c r="P41" s="132">
        <f>Assessment!AR42</f>
        <v>2.5514345498516668</v>
      </c>
      <c r="Q41" s="132">
        <f>Assessment!AS42</f>
        <v>0.47567072999999999</v>
      </c>
      <c r="R41" s="133">
        <f>Assessment!AT42</f>
        <v>0.53284726000000004</v>
      </c>
      <c r="S41">
        <v>1</v>
      </c>
    </row>
    <row r="42" spans="1:19" ht="48" x14ac:dyDescent="0.2">
      <c r="A42" s="71" t="str">
        <v>Electricity mix (EU)</v>
      </c>
      <c r="B42" s="9" t="str">
        <f>Assessment!B43</f>
        <v>Strommix (EU)</v>
      </c>
      <c r="C42" s="31" t="str">
        <v>kWh</v>
      </c>
      <c r="D42" s="51">
        <v>3.6</v>
      </c>
      <c r="E42" s="51">
        <v>3.6</v>
      </c>
      <c r="F42" s="8">
        <v>3.4015846583805449</v>
      </c>
      <c r="G42" s="8">
        <v>3.2128810027972223</v>
      </c>
      <c r="H42" s="7">
        <v>0.53415751</v>
      </c>
      <c r="I42" s="96">
        <v>0.60006932000000002</v>
      </c>
      <c r="K42" s="114" t="str">
        <f>Assessment!AM43</f>
        <v>Strommix 
(EU 2022)</v>
      </c>
      <c r="L42" s="115" t="str">
        <f>Assessment!AN43</f>
        <v>Electricity mix 
(EU 2022)</v>
      </c>
      <c r="M42" s="115">
        <f>Assessment!AO43</f>
        <v>0</v>
      </c>
      <c r="N42" s="115">
        <f>Assessment!AP43</f>
        <v>0</v>
      </c>
      <c r="O42" s="132">
        <f>Assessment!AQ43</f>
        <v>3.4015846583805449</v>
      </c>
      <c r="P42" s="132">
        <f>Assessment!AR43</f>
        <v>3.2128810027972223</v>
      </c>
      <c r="Q42" s="132">
        <f>Assessment!AS43</f>
        <v>0.53415751</v>
      </c>
      <c r="R42" s="133">
        <f>Assessment!AT43</f>
        <v>0.60006932000000002</v>
      </c>
    </row>
    <row r="43" spans="1:19" ht="48" x14ac:dyDescent="0.2">
      <c r="A43" s="71" t="str">
        <v>Heat from solar thermal (flat-plate collectors, production mix, flat)</v>
      </c>
      <c r="B43" s="9" t="str">
        <f>Assessment!B44</f>
        <v>Wärme aus Solarthermie (Flachkollektoren, Produktionsmix, flach)</v>
      </c>
      <c r="C43" s="31" t="str">
        <v>MJ</v>
      </c>
      <c r="D43" s="51">
        <v>1</v>
      </c>
      <c r="E43" s="51">
        <v>1</v>
      </c>
      <c r="F43" s="8">
        <v>0.11620031290520028</v>
      </c>
      <c r="G43" s="8">
        <v>1.0990964034763999</v>
      </c>
      <c r="H43" s="7">
        <v>1.6182990719999998E-2</v>
      </c>
      <c r="I43" s="96">
        <v>1.8685666439999998E-2</v>
      </c>
      <c r="K43" s="114" t="str">
        <f>Assessment!AM44</f>
        <v>Solarthermie</v>
      </c>
      <c r="L43" s="115" t="str">
        <f>Assessment!AN44</f>
        <v>Solar thermal</v>
      </c>
      <c r="M43" s="115">
        <f>Assessment!AO44</f>
        <v>0</v>
      </c>
      <c r="N43" s="115">
        <f>Assessment!AP44</f>
        <v>0</v>
      </c>
      <c r="O43" s="132">
        <f>Assessment!AQ44</f>
        <v>0.14699334467566694</v>
      </c>
      <c r="P43" s="132">
        <f>Assessment!AR44</f>
        <v>1.1274275564578999</v>
      </c>
      <c r="Q43" s="132">
        <f>Assessment!AS44</f>
        <v>1.9868540760000001E-2</v>
      </c>
      <c r="R43" s="133">
        <f>Assessment!AT44</f>
        <v>2.293570512E-2</v>
      </c>
      <c r="S43">
        <v>1</v>
      </c>
    </row>
    <row r="44" spans="1:19" ht="32" x14ac:dyDescent="0.2">
      <c r="A44" s="71" t="str">
        <v>Heat from solar thermal (flat plate collectors, production mix, oblique )</v>
      </c>
      <c r="B44" s="9" t="str">
        <f>Assessment!B45</f>
        <v>Wärme aus Solarthermie (Flachkollektoren, Produktionsmix, schräg)</v>
      </c>
      <c r="C44" s="31" t="str">
        <v>MJ</v>
      </c>
      <c r="D44" s="51">
        <v>1</v>
      </c>
      <c r="E44" s="51">
        <v>1</v>
      </c>
      <c r="F44" s="8">
        <v>0.11190296200580013</v>
      </c>
      <c r="G44" s="8">
        <v>1.0952875154913</v>
      </c>
      <c r="H44" s="7">
        <v>1.5003598679999999E-2</v>
      </c>
      <c r="I44" s="96">
        <v>1.737133272E-2</v>
      </c>
      <c r="K44" s="114">
        <f>Assessment!AM45</f>
        <v>0</v>
      </c>
      <c r="L44" s="115">
        <f>Assessment!AN45</f>
        <v>0</v>
      </c>
      <c r="M44" s="115">
        <f>Assessment!AO45</f>
        <v>0</v>
      </c>
      <c r="N44" s="115">
        <f>Assessment!AP45</f>
        <v>0</v>
      </c>
      <c r="O44" s="132">
        <f>Assessment!AQ45</f>
        <v>0</v>
      </c>
      <c r="P44" s="132">
        <f>Assessment!AR45</f>
        <v>0</v>
      </c>
      <c r="Q44" s="132">
        <f>Assessment!AS45</f>
        <v>0</v>
      </c>
      <c r="R44" s="133">
        <f>Assessment!AT45</f>
        <v>0</v>
      </c>
    </row>
    <row r="45" spans="1:19" ht="32" x14ac:dyDescent="0.2">
      <c r="A45" s="71" t="str">
        <v>Heat from solar thermal energy (evacuated tube collectors, production mix)</v>
      </c>
      <c r="B45" s="9" t="str">
        <f>Assessment!B46</f>
        <v>Wärme aus Solarthermie (Vakuumröhrenkollektoren, Produktionsmix)</v>
      </c>
      <c r="C45" s="31" t="str">
        <v>MJ</v>
      </c>
      <c r="D45" s="51">
        <v>1</v>
      </c>
      <c r="E45" s="51">
        <v>1</v>
      </c>
      <c r="F45" s="8">
        <v>0.21287675911600037</v>
      </c>
      <c r="G45" s="8">
        <v>1.1878987504059999</v>
      </c>
      <c r="H45" s="7">
        <v>2.841903288E-2</v>
      </c>
      <c r="I45" s="96">
        <v>3.2750116199999998E-2</v>
      </c>
      <c r="K45" s="114">
        <f>Assessment!AM46</f>
        <v>0</v>
      </c>
      <c r="L45" s="115">
        <f>Assessment!AN46</f>
        <v>0</v>
      </c>
      <c r="M45" s="115">
        <f>Assessment!AO46</f>
        <v>0</v>
      </c>
      <c r="N45" s="115">
        <f>Assessment!AP46</f>
        <v>0</v>
      </c>
      <c r="O45" s="132">
        <f>Assessment!AQ46</f>
        <v>0</v>
      </c>
      <c r="P45" s="132">
        <f>Assessment!AR46</f>
        <v>0</v>
      </c>
      <c r="Q45" s="132">
        <f>Assessment!AS46</f>
        <v>0</v>
      </c>
      <c r="R45" s="133">
        <f>Assessment!AT46</f>
        <v>0</v>
      </c>
    </row>
    <row r="46" spans="1:19" ht="128" x14ac:dyDescent="0.2">
      <c r="A46" s="71" t="str">
        <v>Heat from ground source heat pumps (10kW)</v>
      </c>
      <c r="B46" s="9" t="str">
        <f>Assessment!B47</f>
        <v>Wärme aus Erdwärmepumpen (10kW)</v>
      </c>
      <c r="C46" s="31" t="str">
        <v>MJ</v>
      </c>
      <c r="D46" s="51">
        <v>1</v>
      </c>
      <c r="E46" s="51">
        <v>1</v>
      </c>
      <c r="F46" s="8">
        <v>1.3844759457998026</v>
      </c>
      <c r="G46" s="8">
        <v>1.2656087594349017</v>
      </c>
      <c r="H46" s="7">
        <v>0.14434250039999999</v>
      </c>
      <c r="I46" s="96">
        <v>0.18910336679999998</v>
      </c>
      <c r="K46" s="114" t="str">
        <f>Assessment!AM47</f>
        <v>Effiziente Wärmepumpe (Grundwasser oder Erde) mit Strommix (DE 2022)</v>
      </c>
      <c r="L46" s="115" t="str">
        <f>Assessment!AN47</f>
        <v>Efficient heat pump (groundwater or earth) with electricity mix (DE 2022)</v>
      </c>
      <c r="M46" s="115">
        <f>Assessment!AO47</f>
        <v>0</v>
      </c>
      <c r="N46" s="115">
        <f>Assessment!AP47</f>
        <v>0</v>
      </c>
      <c r="O46" s="132">
        <f>Assessment!AQ47</f>
        <v>1.4111383522793373</v>
      </c>
      <c r="P46" s="132">
        <f>Assessment!AR47</f>
        <v>1.283637542605387</v>
      </c>
      <c r="Q46" s="132">
        <f>Assessment!AS47</f>
        <v>0.15333182279999999</v>
      </c>
      <c r="R46" s="133">
        <f>Assessment!AT47</f>
        <v>0.19917322199999998</v>
      </c>
    </row>
    <row r="47" spans="1:19" ht="80" x14ac:dyDescent="0.2">
      <c r="A47" s="71" t="str">
        <v>Heat from air heat pumps (10 kW)</v>
      </c>
      <c r="B47" s="9" t="str">
        <f>Assessment!B48</f>
        <v>Wärme aus Luftwärmepumpen (10 kW)</v>
      </c>
      <c r="C47" s="31" t="str">
        <v>MJ</v>
      </c>
      <c r="D47" s="51">
        <v>1</v>
      </c>
      <c r="E47" s="51">
        <v>1</v>
      </c>
      <c r="F47" s="8">
        <v>1.5157583764366567</v>
      </c>
      <c r="G47" s="8">
        <v>1.3504615821066563</v>
      </c>
      <c r="H47" s="7">
        <v>0.20055925079999998</v>
      </c>
      <c r="I47" s="96">
        <v>0.26801259839999997</v>
      </c>
      <c r="K47" s="114" t="str">
        <f>Assessment!AM48</f>
        <v>Luft-Wärmepumpe mit Strommix (DE 2022)</v>
      </c>
      <c r="L47" s="115" t="str">
        <f>Assessment!AN48</f>
        <v>Air heat pump with electricity mix (DE 2022)</v>
      </c>
      <c r="M47" s="115">
        <f>Assessment!AO48</f>
        <v>0</v>
      </c>
      <c r="N47" s="115">
        <f>Assessment!AP48</f>
        <v>0</v>
      </c>
      <c r="O47" s="132">
        <f>Assessment!AQ48</f>
        <v>1.5157583764366567</v>
      </c>
      <c r="P47" s="132">
        <f>Assessment!AR48</f>
        <v>1.3504615821066563</v>
      </c>
      <c r="Q47" s="132">
        <f>Assessment!AS48</f>
        <v>0.20055925079999998</v>
      </c>
      <c r="R47" s="133">
        <f>Assessment!AT48</f>
        <v>0.26801259839999997</v>
      </c>
    </row>
    <row r="48" spans="1:19" ht="32" x14ac:dyDescent="0.2">
      <c r="A48" s="71" t="str">
        <v>Heat from groundwater heat pumps (10 kW)</v>
      </c>
      <c r="B48" s="9" t="str">
        <f>Assessment!B49</f>
        <v>Wärme aus Grundwasserwärmepumpen (10 kW)</v>
      </c>
      <c r="C48" s="31" t="str">
        <v>MJ</v>
      </c>
      <c r="D48" s="51">
        <v>1</v>
      </c>
      <c r="E48" s="51">
        <v>1</v>
      </c>
      <c r="F48" s="8">
        <v>1.4378007587588719</v>
      </c>
      <c r="G48" s="8">
        <v>1.3016663257758725</v>
      </c>
      <c r="H48" s="7">
        <v>0.16232114519999999</v>
      </c>
      <c r="I48" s="96">
        <v>0.20924307719999999</v>
      </c>
      <c r="K48" s="114">
        <f>Assessment!AM49</f>
        <v>0</v>
      </c>
      <c r="L48" s="115">
        <f>Assessment!AN49</f>
        <v>0</v>
      </c>
      <c r="M48" s="115">
        <f>Assessment!AO49</f>
        <v>0</v>
      </c>
      <c r="N48" s="115">
        <f>Assessment!AP49</f>
        <v>0</v>
      </c>
      <c r="O48" s="132">
        <f>Assessment!AQ49</f>
        <v>0</v>
      </c>
      <c r="P48" s="132">
        <f>Assessment!AR49</f>
        <v>0</v>
      </c>
      <c r="Q48" s="132">
        <f>Assessment!AS49</f>
        <v>0</v>
      </c>
      <c r="R48" s="133">
        <f>Assessment!AT49</f>
        <v>0</v>
      </c>
    </row>
    <row r="49" spans="1:18" ht="80" x14ac:dyDescent="0.2">
      <c r="A49" s="71" t="str">
        <v>Heat from river heat pumps (large heat pump 13 MW)</v>
      </c>
      <c r="B49" s="9" t="str">
        <f>Assessment!B50</f>
        <v>Wärme aus Flusswärmepumpen (Großwärmepumpe 13 MW)</v>
      </c>
      <c r="C49" s="31" t="str">
        <v>MJ</v>
      </c>
      <c r="D49" s="51">
        <v>1</v>
      </c>
      <c r="E49" s="51">
        <v>1</v>
      </c>
      <c r="F49" s="8">
        <v>1.4723182552165981</v>
      </c>
      <c r="G49" s="8">
        <v>1.3198105775005979</v>
      </c>
      <c r="H49" s="7">
        <v>0.1737316548</v>
      </c>
      <c r="I49" s="96">
        <v>0.2172145392</v>
      </c>
      <c r="K49" s="114" t="str">
        <f>Assessment!AM50</f>
        <v>Großwärmepumpe mit Strommix (DE 2022)</v>
      </c>
      <c r="L49" s="115" t="str">
        <f>Assessment!AN50</f>
        <v>Large heat pump with electricity mix (DE 2022)</v>
      </c>
      <c r="M49" s="115">
        <f>Assessment!AO50</f>
        <v>0</v>
      </c>
      <c r="N49" s="115">
        <f>Assessment!AP50</f>
        <v>0</v>
      </c>
      <c r="O49" s="132">
        <f>Assessment!AQ50</f>
        <v>1.4723182552165981</v>
      </c>
      <c r="P49" s="132">
        <f>Assessment!AR50</f>
        <v>1.3198105775005979</v>
      </c>
      <c r="Q49" s="132">
        <f>Assessment!AS50</f>
        <v>0.1737316548</v>
      </c>
      <c r="R49" s="133">
        <f>Assessment!AT50</f>
        <v>0.2172145392</v>
      </c>
    </row>
    <row r="50" spans="1:18" ht="32" x14ac:dyDescent="0.2">
      <c r="A50" s="71" t="str">
        <v>Electricity from deep geothermal energy (open loop / hydrothermal - classic deep geothermal)</v>
      </c>
      <c r="B50" s="9" t="str">
        <f>Assessment!B51</f>
        <v>Strom aus Tiefengeothermie (Open Loop / Hydrothermal - Klassische Tiefengeothermie)</v>
      </c>
      <c r="C50" s="31" t="str">
        <v>kWh</v>
      </c>
      <c r="D50" s="51">
        <v>3.6</v>
      </c>
      <c r="E50" s="51">
        <v>3.6</v>
      </c>
      <c r="F50" s="8">
        <v>1.2991596798172222</v>
      </c>
      <c r="G50" s="8">
        <v>7.4452518552816667</v>
      </c>
      <c r="H50" s="7">
        <v>6.7600979000000005E-2</v>
      </c>
      <c r="I50" s="96">
        <v>7.6744628999999995E-2</v>
      </c>
      <c r="K50" s="114">
        <f>Assessment!AM51</f>
        <v>0</v>
      </c>
      <c r="L50" s="115">
        <f>Assessment!AN51</f>
        <v>0</v>
      </c>
      <c r="M50" s="115">
        <f>Assessment!AO51</f>
        <v>0</v>
      </c>
      <c r="N50" s="115">
        <f>Assessment!AP51</f>
        <v>0</v>
      </c>
      <c r="O50" s="132">
        <f>Assessment!AQ51</f>
        <v>1.2991596798172222</v>
      </c>
      <c r="P50" s="132">
        <f>Assessment!AR51</f>
        <v>7.4452518552816667</v>
      </c>
      <c r="Q50" s="132">
        <f>Assessment!AS51</f>
        <v>6.7600979000000005E-2</v>
      </c>
      <c r="R50" s="133">
        <f>Assessment!AT51</f>
        <v>7.6744628999999995E-2</v>
      </c>
    </row>
    <row r="51" spans="1:18" ht="32" x14ac:dyDescent="0.2">
      <c r="A51" s="71" t="str">
        <v>Heat from thermal waste treatment (average temperature approx. 80 °C)</v>
      </c>
      <c r="B51" s="9" t="str">
        <f>Assessment!B52</f>
        <v>Wärme aus thermischer Abfallbehandlung (Mittlere Temperatur ca. 80 °C)</v>
      </c>
      <c r="C51" s="31" t="str">
        <v>MJ</v>
      </c>
      <c r="D51" s="51">
        <v>1</v>
      </c>
      <c r="E51" s="51">
        <v>1</v>
      </c>
      <c r="F51" s="8">
        <v>0</v>
      </c>
      <c r="G51" s="8">
        <v>1</v>
      </c>
      <c r="H51" s="7">
        <v>0</v>
      </c>
      <c r="I51" s="96">
        <v>0</v>
      </c>
      <c r="K51" s="114">
        <f>Assessment!AM52</f>
        <v>0</v>
      </c>
      <c r="L51" s="115">
        <f>Assessment!AN52</f>
        <v>0</v>
      </c>
      <c r="M51" s="115">
        <f>Assessment!AO52</f>
        <v>0</v>
      </c>
      <c r="N51" s="115">
        <f>Assessment!AP52</f>
        <v>0</v>
      </c>
      <c r="O51" s="132">
        <f>Assessment!AQ52</f>
        <v>0</v>
      </c>
      <c r="P51" s="132">
        <f>Assessment!AR52</f>
        <v>1</v>
      </c>
      <c r="Q51" s="132">
        <f>Assessment!AS52</f>
        <v>0</v>
      </c>
      <c r="R51" s="133">
        <f>Assessment!AT52</f>
        <v>0</v>
      </c>
    </row>
    <row r="52" spans="1:18" ht="32" x14ac:dyDescent="0.2">
      <c r="A52" s="71" t="str">
        <v>Fuel elements BWR, UO2 4.0% &amp; MOX, at nuclear fuel fabrication plant</v>
      </c>
      <c r="B52" s="9" t="s">
        <v>766</v>
      </c>
      <c r="C52" s="31" t="str">
        <v>kg</v>
      </c>
      <c r="D52" s="51">
        <v>4415552.5573408566</v>
      </c>
      <c r="E52" s="51">
        <v>4415552.5573408566</v>
      </c>
      <c r="F52" s="8">
        <v>1.069447748232401</v>
      </c>
      <c r="G52" s="8">
        <v>1.0691553183194442</v>
      </c>
      <c r="H52" s="7">
        <v>2.3563837288499995E-3</v>
      </c>
      <c r="I52" s="96">
        <v>2.6024102874499999E-3</v>
      </c>
      <c r="K52" s="114">
        <f>Assessment!AM53</f>
        <v>0</v>
      </c>
      <c r="L52" s="115">
        <f>Assessment!AN53</f>
        <v>0</v>
      </c>
      <c r="M52" s="115">
        <f>Assessment!AO53</f>
        <v>0</v>
      </c>
      <c r="N52" s="115">
        <f>Assessment!AP53</f>
        <v>0</v>
      </c>
      <c r="O52" s="132">
        <f>Assessment!AQ53</f>
        <v>0</v>
      </c>
      <c r="P52" s="132">
        <f>Assessment!AR53</f>
        <v>0</v>
      </c>
      <c r="Q52" s="132">
        <f>Assessment!AS53</f>
        <v>0</v>
      </c>
      <c r="R52" s="133">
        <f>Assessment!AT53</f>
        <v>0</v>
      </c>
    </row>
    <row r="53" spans="1:18" ht="64" x14ac:dyDescent="0.2">
      <c r="A53" s="71" t="str">
        <v>Fuel elements PWR, UO2 4.0% &amp; MOX, at nuclear fuel fabrication plant</v>
      </c>
      <c r="B53" s="9" t="s">
        <v>767</v>
      </c>
      <c r="C53" s="31" t="str">
        <v>kg</v>
      </c>
      <c r="D53" s="51">
        <v>4311893.6400000006</v>
      </c>
      <c r="E53" s="51">
        <v>4311893.6400000006</v>
      </c>
      <c r="F53" s="8">
        <v>1.0343264448239033</v>
      </c>
      <c r="G53" s="8">
        <v>1.0340422960896596</v>
      </c>
      <c r="H53" s="7">
        <v>2.2804153026371957E-3</v>
      </c>
      <c r="I53" s="96">
        <v>2.518577540794814E-3</v>
      </c>
      <c r="K53" s="114" t="str">
        <f>Assessment!AM54</f>
        <v>Uran Brennelement (frei Fabrik)</v>
      </c>
      <c r="L53" s="115" t="str">
        <f>Assessment!AN54</f>
        <v>Uranium fuel element</v>
      </c>
      <c r="M53" s="119">
        <f>Assessment!AO54</f>
        <v>1212145.3051862302</v>
      </c>
      <c r="N53" s="119">
        <f>Assessment!AP54</f>
        <v>1212145.3051862302</v>
      </c>
      <c r="O53" s="132">
        <f>Assessment!AQ54</f>
        <v>1.0518870965281522</v>
      </c>
      <c r="P53" s="132">
        <f>Assessment!AR54</f>
        <v>1.0515988072045519</v>
      </c>
      <c r="Q53" s="132">
        <f>Assessment!AS54</f>
        <v>2.3183995157435976E-3</v>
      </c>
      <c r="R53" s="133">
        <f>Assessment!AT54</f>
        <v>2.5604939141224067E-3</v>
      </c>
    </row>
    <row r="54" spans="1:18" x14ac:dyDescent="0.2">
      <c r="A54" s="71">
        <v>0</v>
      </c>
      <c r="C54" s="31">
        <v>0</v>
      </c>
      <c r="D54" s="51">
        <v>0</v>
      </c>
      <c r="E54" s="51">
        <v>0</v>
      </c>
      <c r="F54" s="8">
        <v>0</v>
      </c>
      <c r="G54" s="8">
        <v>0</v>
      </c>
      <c r="H54" s="7">
        <v>0</v>
      </c>
      <c r="I54" s="96">
        <v>0</v>
      </c>
      <c r="K54" s="114">
        <f>Assessment!AM55</f>
        <v>0</v>
      </c>
      <c r="L54" s="115">
        <f>Assessment!AN55</f>
        <v>0</v>
      </c>
      <c r="M54" s="115">
        <f>Assessment!AO55</f>
        <v>0</v>
      </c>
      <c r="N54" s="115">
        <f>Assessment!AP55</f>
        <v>0</v>
      </c>
      <c r="O54" s="132">
        <f>Assessment!AQ55</f>
        <v>0</v>
      </c>
      <c r="P54" s="132">
        <f>Assessment!AR55</f>
        <v>0</v>
      </c>
      <c r="Q54" s="132">
        <f>Assessment!AS55</f>
        <v>0</v>
      </c>
      <c r="R54" s="133">
        <f>Assessment!AT55</f>
        <v>0</v>
      </c>
    </row>
    <row r="55" spans="1:18" x14ac:dyDescent="0.2">
      <c r="A55" s="71">
        <v>0</v>
      </c>
      <c r="C55" s="31">
        <v>0</v>
      </c>
      <c r="D55" s="51">
        <v>0</v>
      </c>
      <c r="E55" s="51">
        <v>0</v>
      </c>
      <c r="F55" s="8">
        <v>0</v>
      </c>
      <c r="G55" s="8">
        <v>0</v>
      </c>
      <c r="H55" s="7">
        <v>0</v>
      </c>
      <c r="I55" s="96">
        <v>0</v>
      </c>
      <c r="K55" s="114">
        <f>Assessment!AM56</f>
        <v>0</v>
      </c>
      <c r="L55" s="115">
        <f>Assessment!AN56</f>
        <v>0</v>
      </c>
      <c r="M55" s="115">
        <f>Assessment!AO56</f>
        <v>0</v>
      </c>
      <c r="N55" s="115">
        <f>Assessment!AP56</f>
        <v>0</v>
      </c>
      <c r="O55" s="132">
        <f>Assessment!AQ56</f>
        <v>0</v>
      </c>
      <c r="P55" s="132">
        <f>Assessment!AR56</f>
        <v>0</v>
      </c>
      <c r="Q55" s="132">
        <f>Assessment!AS56</f>
        <v>0</v>
      </c>
      <c r="R55" s="133">
        <f>Assessment!AT56</f>
        <v>0</v>
      </c>
    </row>
    <row r="56" spans="1:18" ht="64" x14ac:dyDescent="0.2">
      <c r="A56" s="77" t="str">
        <v>Heat from deep geothermal energy (test calculation)</v>
      </c>
      <c r="B56" s="103" t="s">
        <v>497</v>
      </c>
      <c r="C56" s="68" t="str">
        <v>MJ</v>
      </c>
      <c r="D56" s="129">
        <v>0</v>
      </c>
      <c r="E56" s="129">
        <v>0</v>
      </c>
      <c r="F56" s="105">
        <v>4.6535950193790136E-2</v>
      </c>
      <c r="G56" s="105">
        <v>4.1613904154925961E-2</v>
      </c>
      <c r="H56" s="106">
        <v>1.0515707844444448E-2</v>
      </c>
      <c r="I56" s="107">
        <v>1.1938053400000001E-2</v>
      </c>
      <c r="K56" s="120" t="str">
        <f>Assessment!AM57</f>
        <v>Wärme aus Tiefengeothermie</v>
      </c>
      <c r="L56" s="121" t="str">
        <f>Assessment!AN57</f>
        <v>Heat from deep geothermal energy</v>
      </c>
      <c r="M56" s="121">
        <f>Assessment!AO57</f>
        <v>0</v>
      </c>
      <c r="N56" s="121">
        <f>Assessment!AP57</f>
        <v>0</v>
      </c>
      <c r="O56" s="136">
        <f>Assessment!AQ57</f>
        <v>4.6535950193790136E-2</v>
      </c>
      <c r="P56" s="136">
        <f>Assessment!AR57</f>
        <v>4.1613904154925961E-2</v>
      </c>
      <c r="Q56" s="136">
        <f>Assessment!AS57</f>
        <v>1.0515707844444448E-2</v>
      </c>
      <c r="R56" s="137">
        <f>Assessment!AT57</f>
        <v>1.1938053400000001E-2</v>
      </c>
    </row>
  </sheetData>
  <autoFilter ref="A1:J56" xr:uid="{C25DDC4D-2782-1B46-B2E7-CF290FB94233}"/>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D7C-68EA-B74A-A26B-E2899629480C}">
  <dimension ref="A2:AH56"/>
  <sheetViews>
    <sheetView workbookViewId="0">
      <selection activeCell="W36" sqref="W36"/>
    </sheetView>
  </sheetViews>
  <sheetFormatPr baseColWidth="10" defaultColWidth="8.83203125" defaultRowHeight="15" x14ac:dyDescent="0.2"/>
  <cols>
    <col min="1" max="1" width="39.83203125" customWidth="1"/>
    <col min="2" max="2" width="10.5" customWidth="1"/>
  </cols>
  <sheetData>
    <row r="2" spans="1:2" x14ac:dyDescent="0.2">
      <c r="A2" t="s">
        <v>0</v>
      </c>
      <c r="B2" t="s">
        <v>1</v>
      </c>
    </row>
    <row r="3" spans="1:2" x14ac:dyDescent="0.2">
      <c r="A3" t="s">
        <v>2</v>
      </c>
      <c r="B3" t="s">
        <v>3</v>
      </c>
    </row>
    <row r="4" spans="1:2" x14ac:dyDescent="0.2">
      <c r="A4" t="s">
        <v>4</v>
      </c>
      <c r="B4" t="s">
        <v>561</v>
      </c>
    </row>
    <row r="5" spans="1:2" x14ac:dyDescent="0.2">
      <c r="A5" t="s">
        <v>5</v>
      </c>
      <c r="B5" t="s">
        <v>562</v>
      </c>
    </row>
    <row r="6" spans="1:2" x14ac:dyDescent="0.2">
      <c r="A6" t="s">
        <v>6</v>
      </c>
      <c r="B6" t="s">
        <v>563</v>
      </c>
    </row>
    <row r="7" spans="1:2" x14ac:dyDescent="0.2">
      <c r="A7" t="s">
        <v>7</v>
      </c>
      <c r="B7" t="s">
        <v>562</v>
      </c>
    </row>
    <row r="8" spans="1:2" x14ac:dyDescent="0.2">
      <c r="A8" t="s">
        <v>8</v>
      </c>
      <c r="B8" t="s">
        <v>564</v>
      </c>
    </row>
    <row r="9" spans="1:2" x14ac:dyDescent="0.2">
      <c r="A9" t="s">
        <v>10</v>
      </c>
      <c r="B9" t="s">
        <v>565</v>
      </c>
    </row>
    <row r="10" spans="1:2" x14ac:dyDescent="0.2">
      <c r="A10" t="s">
        <v>11</v>
      </c>
      <c r="B10" t="s">
        <v>566</v>
      </c>
    </row>
    <row r="11" spans="1:2" x14ac:dyDescent="0.2">
      <c r="A11" t="s">
        <v>13</v>
      </c>
      <c r="B11" t="s">
        <v>567</v>
      </c>
    </row>
    <row r="12" spans="1:2" x14ac:dyDescent="0.2">
      <c r="A12" t="s">
        <v>15</v>
      </c>
      <c r="B12" t="s">
        <v>568</v>
      </c>
    </row>
    <row r="13" spans="1:2" x14ac:dyDescent="0.2">
      <c r="A13" t="s">
        <v>17</v>
      </c>
      <c r="B13" t="s">
        <v>569</v>
      </c>
    </row>
    <row r="14" spans="1:2" x14ac:dyDescent="0.2">
      <c r="A14" t="s">
        <v>18</v>
      </c>
      <c r="B14" t="s">
        <v>570</v>
      </c>
    </row>
    <row r="15" spans="1:2" x14ac:dyDescent="0.2">
      <c r="A15" t="s">
        <v>19</v>
      </c>
      <c r="B15" t="s">
        <v>571</v>
      </c>
    </row>
    <row r="16" spans="1:2" x14ac:dyDescent="0.2">
      <c r="A16" t="s">
        <v>20</v>
      </c>
      <c r="B16" t="s">
        <v>572</v>
      </c>
    </row>
    <row r="17" spans="1:2" x14ac:dyDescent="0.2">
      <c r="A17" t="s">
        <v>21</v>
      </c>
      <c r="B17" t="s">
        <v>573</v>
      </c>
    </row>
    <row r="18" spans="1:2" x14ac:dyDescent="0.2">
      <c r="A18" t="s">
        <v>22</v>
      </c>
      <c r="B18" t="s">
        <v>574</v>
      </c>
    </row>
    <row r="19" spans="1:2" x14ac:dyDescent="0.2">
      <c r="A19" t="s">
        <v>23</v>
      </c>
      <c r="B19" t="s">
        <v>575</v>
      </c>
    </row>
    <row r="20" spans="1:2" x14ac:dyDescent="0.2">
      <c r="A20" t="s">
        <v>24</v>
      </c>
      <c r="B20" t="s">
        <v>576</v>
      </c>
    </row>
    <row r="21" spans="1:2" x14ac:dyDescent="0.2">
      <c r="A21" t="s">
        <v>25</v>
      </c>
      <c r="B21" t="s">
        <v>577</v>
      </c>
    </row>
    <row r="22" spans="1:2" x14ac:dyDescent="0.2">
      <c r="A22" t="s">
        <v>26</v>
      </c>
      <c r="B22" t="s">
        <v>578</v>
      </c>
    </row>
    <row r="23" spans="1:2" x14ac:dyDescent="0.2">
      <c r="A23" t="s">
        <v>27</v>
      </c>
      <c r="B23" t="s">
        <v>579</v>
      </c>
    </row>
    <row r="24" spans="1:2" x14ac:dyDescent="0.2">
      <c r="A24" t="s">
        <v>29</v>
      </c>
      <c r="B24" t="s">
        <v>580</v>
      </c>
    </row>
    <row r="25" spans="1:2" x14ac:dyDescent="0.2">
      <c r="A25" t="s">
        <v>31</v>
      </c>
      <c r="B25" t="s">
        <v>581</v>
      </c>
    </row>
    <row r="26" spans="1:2" x14ac:dyDescent="0.2">
      <c r="A26" t="s">
        <v>33</v>
      </c>
      <c r="B26" t="s">
        <v>582</v>
      </c>
    </row>
    <row r="27" spans="1:2" x14ac:dyDescent="0.2">
      <c r="A27" t="s">
        <v>34</v>
      </c>
      <c r="B27" t="s">
        <v>583</v>
      </c>
    </row>
    <row r="28" spans="1:2" x14ac:dyDescent="0.2">
      <c r="A28" t="s">
        <v>36</v>
      </c>
      <c r="B28" t="s">
        <v>584</v>
      </c>
    </row>
    <row r="29" spans="1:2" x14ac:dyDescent="0.2">
      <c r="A29" t="s">
        <v>37</v>
      </c>
      <c r="B29" t="s">
        <v>585</v>
      </c>
    </row>
    <row r="30" spans="1:2" x14ac:dyDescent="0.2">
      <c r="A30" t="s">
        <v>39</v>
      </c>
      <c r="B30" t="s">
        <v>586</v>
      </c>
    </row>
    <row r="31" spans="1:2" x14ac:dyDescent="0.2">
      <c r="A31" t="s">
        <v>41</v>
      </c>
      <c r="B31" t="s">
        <v>587</v>
      </c>
    </row>
    <row r="32" spans="1:2" x14ac:dyDescent="0.2">
      <c r="A32" t="s">
        <v>43</v>
      </c>
      <c r="B32" t="s">
        <v>588</v>
      </c>
    </row>
    <row r="33" spans="1:34" x14ac:dyDescent="0.2">
      <c r="A33" t="s">
        <v>44</v>
      </c>
      <c r="B33" t="s">
        <v>589</v>
      </c>
    </row>
    <row r="34" spans="1:34" x14ac:dyDescent="0.2">
      <c r="A34" t="s">
        <v>46</v>
      </c>
      <c r="B34" t="s">
        <v>590</v>
      </c>
    </row>
    <row r="35" spans="1:34" x14ac:dyDescent="0.2">
      <c r="A35" t="s">
        <v>47</v>
      </c>
      <c r="B35" t="s">
        <v>591</v>
      </c>
    </row>
    <row r="36" spans="1:34" x14ac:dyDescent="0.2">
      <c r="A36" t="s">
        <v>75</v>
      </c>
      <c r="B36" t="s">
        <v>76</v>
      </c>
    </row>
    <row r="37" spans="1:34" x14ac:dyDescent="0.2">
      <c r="A37" t="s">
        <v>77</v>
      </c>
      <c r="B37" t="s">
        <v>78</v>
      </c>
    </row>
    <row r="38" spans="1:34" x14ac:dyDescent="0.2">
      <c r="A38" t="s">
        <v>79</v>
      </c>
      <c r="B38" t="s">
        <v>80</v>
      </c>
    </row>
    <row r="39" spans="1:34" x14ac:dyDescent="0.2">
      <c r="A39" t="s">
        <v>81</v>
      </c>
      <c r="B39" t="s">
        <v>82</v>
      </c>
    </row>
    <row r="40" spans="1:34" x14ac:dyDescent="0.2">
      <c r="A40" t="s">
        <v>83</v>
      </c>
      <c r="B40" t="s">
        <v>84</v>
      </c>
    </row>
    <row r="41" spans="1:34" x14ac:dyDescent="0.2">
      <c r="A41" t="s">
        <v>85</v>
      </c>
      <c r="B41" t="s">
        <v>84</v>
      </c>
    </row>
    <row r="42" spans="1:34" x14ac:dyDescent="0.2">
      <c r="A42" t="s">
        <v>86</v>
      </c>
      <c r="B42" t="s">
        <v>87</v>
      </c>
    </row>
    <row r="43" spans="1:34" x14ac:dyDescent="0.2">
      <c r="A43" t="s">
        <v>88</v>
      </c>
      <c r="B43" t="s">
        <v>89</v>
      </c>
    </row>
    <row r="45" spans="1:34" x14ac:dyDescent="0.2">
      <c r="A45" t="s">
        <v>87</v>
      </c>
      <c r="B45" t="s">
        <v>90</v>
      </c>
      <c r="C45" t="s">
        <v>513</v>
      </c>
      <c r="D45" t="s">
        <v>521</v>
      </c>
      <c r="E45" t="s">
        <v>522</v>
      </c>
      <c r="F45" t="s">
        <v>521</v>
      </c>
      <c r="G45" t="s">
        <v>525</v>
      </c>
      <c r="H45" t="s">
        <v>592</v>
      </c>
      <c r="I45" t="s">
        <v>519</v>
      </c>
      <c r="J45" t="s">
        <v>527</v>
      </c>
      <c r="K45" t="s">
        <v>528</v>
      </c>
      <c r="L45" t="s">
        <v>529</v>
      </c>
      <c r="M45" t="s">
        <v>533</v>
      </c>
      <c r="N45" t="s">
        <v>532</v>
      </c>
      <c r="O45" t="s">
        <v>593</v>
      </c>
      <c r="P45" t="s">
        <v>536</v>
      </c>
      <c r="Q45" t="s">
        <v>594</v>
      </c>
      <c r="R45" t="s">
        <v>539</v>
      </c>
      <c r="S45" t="s">
        <v>540</v>
      </c>
      <c r="T45" t="s">
        <v>543</v>
      </c>
      <c r="U45" t="s">
        <v>544</v>
      </c>
      <c r="V45" t="s">
        <v>546</v>
      </c>
      <c r="W45" t="s">
        <v>548</v>
      </c>
      <c r="X45" t="s">
        <v>595</v>
      </c>
      <c r="Y45" t="s">
        <v>551</v>
      </c>
      <c r="Z45" t="s">
        <v>552</v>
      </c>
      <c r="AA45" t="s">
        <v>554</v>
      </c>
      <c r="AB45" t="s">
        <v>555</v>
      </c>
      <c r="AC45" t="s">
        <v>557</v>
      </c>
      <c r="AD45" t="s">
        <v>596</v>
      </c>
      <c r="AE45" t="s">
        <v>510</v>
      </c>
      <c r="AF45" t="s">
        <v>597</v>
      </c>
      <c r="AG45" t="s">
        <v>598</v>
      </c>
      <c r="AH45" t="s">
        <v>599</v>
      </c>
    </row>
    <row r="46" spans="1:34" x14ac:dyDescent="0.2">
      <c r="A46" t="s">
        <v>137</v>
      </c>
      <c r="B46" t="s">
        <v>138</v>
      </c>
      <c r="C46">
        <v>150720.54999999999</v>
      </c>
      <c r="D46">
        <v>128672.81</v>
      </c>
      <c r="E46">
        <v>170896.65</v>
      </c>
      <c r="F46">
        <v>128672.81</v>
      </c>
      <c r="G46">
        <v>29440762</v>
      </c>
      <c r="H46">
        <v>13572938</v>
      </c>
      <c r="I46">
        <v>2889137.2</v>
      </c>
      <c r="J46">
        <v>33483544</v>
      </c>
      <c r="K46">
        <v>8712673.5999999996</v>
      </c>
      <c r="L46">
        <v>7597889.7999999998</v>
      </c>
      <c r="M46" s="1">
        <v>21742562000</v>
      </c>
      <c r="N46" s="1">
        <v>26927153000</v>
      </c>
      <c r="O46">
        <v>15509198</v>
      </c>
      <c r="P46">
        <v>3433129.9</v>
      </c>
      <c r="Q46">
        <v>35615274</v>
      </c>
      <c r="R46" s="1">
        <v>197944500000</v>
      </c>
      <c r="S46" s="1">
        <v>202633050000</v>
      </c>
      <c r="T46">
        <v>2.8299376999999999</v>
      </c>
      <c r="U46">
        <v>0.62404059000000001</v>
      </c>
      <c r="V46">
        <v>777079.3</v>
      </c>
      <c r="W46" s="1">
        <v>184791370</v>
      </c>
      <c r="X46">
        <v>2779697.8</v>
      </c>
      <c r="Y46" s="1">
        <v>376880390</v>
      </c>
      <c r="Z46" s="1">
        <v>139181390</v>
      </c>
      <c r="AA46" s="1">
        <v>106893910</v>
      </c>
      <c r="AB46">
        <v>56942296</v>
      </c>
      <c r="AC46" s="1">
        <v>27667517000</v>
      </c>
      <c r="AD46" s="1">
        <v>2339497100</v>
      </c>
      <c r="AE46" s="1">
        <v>1785412200</v>
      </c>
      <c r="AF46">
        <v>29447.026999999998</v>
      </c>
      <c r="AG46">
        <v>31936.377</v>
      </c>
      <c r="AH46">
        <v>37652.589999999997</v>
      </c>
    </row>
    <row r="47" spans="1:34" x14ac:dyDescent="0.2">
      <c r="A47" t="s">
        <v>139</v>
      </c>
      <c r="B47" t="s">
        <v>138</v>
      </c>
      <c r="C47">
        <v>4978.6129000000001</v>
      </c>
      <c r="D47">
        <v>5884.4141</v>
      </c>
      <c r="E47">
        <v>49949.053</v>
      </c>
      <c r="F47">
        <v>5884.4141</v>
      </c>
      <c r="G47">
        <v>1928410.1</v>
      </c>
      <c r="H47">
        <v>284617.3</v>
      </c>
      <c r="I47">
        <v>141223.56</v>
      </c>
      <c r="J47">
        <v>2763992.6</v>
      </c>
      <c r="K47">
        <v>511635.16</v>
      </c>
      <c r="L47">
        <v>507244.33</v>
      </c>
      <c r="M47" s="1">
        <v>1776461200</v>
      </c>
      <c r="N47" s="1">
        <v>2272722300</v>
      </c>
      <c r="O47">
        <v>463588.81</v>
      </c>
      <c r="P47">
        <v>710403.44</v>
      </c>
      <c r="Q47">
        <v>2350773.7999999998</v>
      </c>
      <c r="R47" s="1">
        <v>5823166800</v>
      </c>
      <c r="S47" s="1">
        <v>5615643000</v>
      </c>
      <c r="T47">
        <v>1.3745719E-2</v>
      </c>
      <c r="U47">
        <v>7.7746839E-3</v>
      </c>
      <c r="V47">
        <v>38342.535000000003</v>
      </c>
      <c r="W47">
        <v>9267600.0999999996</v>
      </c>
      <c r="X47">
        <v>129564.57</v>
      </c>
      <c r="Y47">
        <v>9426919.1999999993</v>
      </c>
      <c r="Z47">
        <v>6750391</v>
      </c>
      <c r="AA47">
        <v>2463412.9</v>
      </c>
      <c r="AB47">
        <v>2370655.9</v>
      </c>
      <c r="AC47" s="1">
        <v>1027131600</v>
      </c>
      <c r="AD47" s="1">
        <v>101836020</v>
      </c>
      <c r="AE47" s="1">
        <v>1336057100</v>
      </c>
      <c r="AF47">
        <v>2990.9962</v>
      </c>
      <c r="AG47">
        <v>3387.7438999999999</v>
      </c>
      <c r="AH47">
        <v>1747.5415</v>
      </c>
    </row>
    <row r="48" spans="1:34" x14ac:dyDescent="0.2">
      <c r="A48" t="s">
        <v>140</v>
      </c>
      <c r="B48" t="s">
        <v>138</v>
      </c>
      <c r="C48">
        <v>983.50599999999997</v>
      </c>
      <c r="D48">
        <v>1255.8565000000001</v>
      </c>
      <c r="E48">
        <v>2384.5358999999999</v>
      </c>
      <c r="F48">
        <v>1255.8565000000001</v>
      </c>
      <c r="G48">
        <v>334936.21999999997</v>
      </c>
      <c r="H48">
        <v>47184.856</v>
      </c>
      <c r="I48">
        <v>28232.876</v>
      </c>
      <c r="J48">
        <v>450871.35</v>
      </c>
      <c r="K48">
        <v>84885.077999999994</v>
      </c>
      <c r="L48">
        <v>91672.017000000007</v>
      </c>
      <c r="M48" s="1">
        <v>186563170</v>
      </c>
      <c r="N48" s="1">
        <v>233179630</v>
      </c>
      <c r="O48">
        <v>61106.993999999999</v>
      </c>
      <c r="P48">
        <v>33918.396000000001</v>
      </c>
      <c r="Q48">
        <v>359424.36</v>
      </c>
      <c r="R48" s="1">
        <v>1319761400</v>
      </c>
      <c r="S48" s="1">
        <v>1298436300</v>
      </c>
      <c r="T48">
        <v>2.7711341E-2</v>
      </c>
      <c r="U48">
        <v>1.4800188000000001E-2</v>
      </c>
      <c r="V48">
        <v>7771.2597999999998</v>
      </c>
      <c r="W48">
        <v>1148289.1000000001</v>
      </c>
      <c r="X48">
        <v>22000.257000000001</v>
      </c>
      <c r="Y48">
        <v>1640626.5</v>
      </c>
      <c r="Z48">
        <v>869836.98</v>
      </c>
      <c r="AA48">
        <v>429263.8</v>
      </c>
      <c r="AB48">
        <v>302035.18</v>
      </c>
      <c r="AC48" s="1">
        <v>210841220</v>
      </c>
      <c r="AD48">
        <v>15329692</v>
      </c>
      <c r="AE48" s="1">
        <v>195904710</v>
      </c>
      <c r="AF48">
        <v>426.50216999999998</v>
      </c>
      <c r="AG48">
        <v>469.28870000000001</v>
      </c>
      <c r="AH48">
        <v>287.71354000000002</v>
      </c>
    </row>
    <row r="49" spans="1:34" x14ac:dyDescent="0.2">
      <c r="A49" t="s">
        <v>141</v>
      </c>
      <c r="B49" t="s">
        <v>138</v>
      </c>
      <c r="C49">
        <v>99.834952000000001</v>
      </c>
      <c r="D49">
        <v>129.65584000000001</v>
      </c>
      <c r="E49">
        <v>281.0052</v>
      </c>
      <c r="F49">
        <v>129.65584000000001</v>
      </c>
      <c r="G49">
        <v>33301.667999999998</v>
      </c>
      <c r="H49">
        <v>6141.0258999999996</v>
      </c>
      <c r="I49">
        <v>3025.1925000000001</v>
      </c>
      <c r="J49">
        <v>73606.297999999995</v>
      </c>
      <c r="K49">
        <v>13827.882</v>
      </c>
      <c r="L49">
        <v>13301.549000000001</v>
      </c>
      <c r="M49">
        <v>28179942</v>
      </c>
      <c r="N49">
        <v>35273794</v>
      </c>
      <c r="O49">
        <v>7867.7223000000004</v>
      </c>
      <c r="P49">
        <v>5446.9678000000004</v>
      </c>
      <c r="Q49">
        <v>34340.038</v>
      </c>
      <c r="R49" s="1">
        <v>535644300</v>
      </c>
      <c r="S49" s="1">
        <v>533143270</v>
      </c>
      <c r="T49">
        <v>1.6303602E-4</v>
      </c>
      <c r="U49">
        <v>9.0858710999999997E-4</v>
      </c>
      <c r="V49">
        <v>923.69259</v>
      </c>
      <c r="W49">
        <v>131857.48000000001</v>
      </c>
      <c r="X49">
        <v>2712.6044999999999</v>
      </c>
      <c r="Y49">
        <v>186925.71</v>
      </c>
      <c r="Z49">
        <v>119185.59</v>
      </c>
      <c r="AA49">
        <v>50639.02</v>
      </c>
      <c r="AB49">
        <v>46030.637000000002</v>
      </c>
      <c r="AC49">
        <v>27518763</v>
      </c>
      <c r="AD49">
        <v>2116458.7999999998</v>
      </c>
      <c r="AE49">
        <v>25397900</v>
      </c>
      <c r="AF49">
        <v>42.121699</v>
      </c>
      <c r="AG49">
        <v>44.219847000000001</v>
      </c>
      <c r="AH49">
        <v>24.944835000000001</v>
      </c>
    </row>
    <row r="50" spans="1:34" x14ac:dyDescent="0.2">
      <c r="A50" t="s">
        <v>142</v>
      </c>
      <c r="B50" t="s">
        <v>138</v>
      </c>
      <c r="C50">
        <v>46.676976000000003</v>
      </c>
      <c r="D50">
        <v>68.539026000000007</v>
      </c>
      <c r="E50">
        <v>96.853432999999995</v>
      </c>
      <c r="F50">
        <v>68.539026000000007</v>
      </c>
      <c r="G50">
        <v>16923.902999999998</v>
      </c>
      <c r="H50">
        <v>3866.4742000000001</v>
      </c>
      <c r="I50">
        <v>1447.261</v>
      </c>
      <c r="J50">
        <v>23516.021000000001</v>
      </c>
      <c r="K50">
        <v>4415.7311</v>
      </c>
      <c r="L50">
        <v>4281.9206000000004</v>
      </c>
      <c r="M50">
        <v>9492677</v>
      </c>
      <c r="N50">
        <v>11892514</v>
      </c>
      <c r="O50">
        <v>2778.6075999999998</v>
      </c>
      <c r="P50">
        <v>1752.7941000000001</v>
      </c>
      <c r="Q50">
        <v>18246.645</v>
      </c>
      <c r="R50" s="1">
        <v>196176470</v>
      </c>
      <c r="S50" s="1">
        <v>195140710</v>
      </c>
      <c r="T50">
        <v>2.016966E-4</v>
      </c>
      <c r="U50">
        <v>7.5287507000000001E-4</v>
      </c>
      <c r="V50">
        <v>287.09926000000002</v>
      </c>
      <c r="W50">
        <v>43058.906999999999</v>
      </c>
      <c r="X50">
        <v>1138.6213</v>
      </c>
      <c r="Y50">
        <v>59695.726999999999</v>
      </c>
      <c r="Z50">
        <v>50225.487000000001</v>
      </c>
      <c r="AA50">
        <v>16902.026999999998</v>
      </c>
      <c r="AB50">
        <v>15527.982</v>
      </c>
      <c r="AC50">
        <v>10876780</v>
      </c>
      <c r="AD50">
        <v>794370.75</v>
      </c>
      <c r="AE50">
        <v>19574.400000000001</v>
      </c>
      <c r="AF50">
        <v>19.067245</v>
      </c>
      <c r="AG50">
        <v>21.123616999999999</v>
      </c>
      <c r="AH50">
        <v>11.407624</v>
      </c>
    </row>
    <row r="51" spans="1:34" x14ac:dyDescent="0.2">
      <c r="A51" t="s">
        <v>143</v>
      </c>
      <c r="B51" t="s">
        <v>138</v>
      </c>
      <c r="C51">
        <v>502.74770999999998</v>
      </c>
      <c r="D51">
        <v>362.78442999999999</v>
      </c>
      <c r="E51">
        <v>520.27936</v>
      </c>
      <c r="F51">
        <v>362.78442999999999</v>
      </c>
      <c r="G51">
        <v>114660.04</v>
      </c>
      <c r="H51">
        <v>30693.19</v>
      </c>
      <c r="I51">
        <v>8564.8767000000007</v>
      </c>
      <c r="J51">
        <v>98507.808000000005</v>
      </c>
      <c r="K51">
        <v>22821.017</v>
      </c>
      <c r="L51">
        <v>38479.332000000002</v>
      </c>
      <c r="M51">
        <v>59815038</v>
      </c>
      <c r="N51">
        <v>73416261</v>
      </c>
      <c r="O51">
        <v>46364.68</v>
      </c>
      <c r="P51">
        <v>8330.7441999999992</v>
      </c>
      <c r="Q51">
        <v>103796.42</v>
      </c>
      <c r="R51" s="1">
        <v>391773470</v>
      </c>
      <c r="S51" s="1">
        <v>397229890</v>
      </c>
      <c r="T51">
        <v>9.4361175000000005E-3</v>
      </c>
      <c r="U51">
        <v>3.0916291999999999E-3</v>
      </c>
      <c r="V51">
        <v>4277.5685000000003</v>
      </c>
      <c r="W51">
        <v>583498.56000000006</v>
      </c>
      <c r="X51">
        <v>14338.197</v>
      </c>
      <c r="Y51">
        <v>781072.79</v>
      </c>
      <c r="Z51">
        <v>322533.21000000002</v>
      </c>
      <c r="AA51">
        <v>218986.62</v>
      </c>
      <c r="AB51">
        <v>123809.59</v>
      </c>
      <c r="AC51">
        <v>69983805</v>
      </c>
      <c r="AD51">
        <v>5487498.2000000002</v>
      </c>
      <c r="AE51" s="1">
        <v>121277560</v>
      </c>
      <c r="AF51">
        <v>183.82974999999999</v>
      </c>
      <c r="AG51">
        <v>194.85457</v>
      </c>
      <c r="AH51">
        <v>254.23007999999999</v>
      </c>
    </row>
    <row r="52" spans="1:34" x14ac:dyDescent="0.2">
      <c r="A52" t="s">
        <v>144</v>
      </c>
      <c r="B52" t="s">
        <v>138</v>
      </c>
      <c r="C52">
        <v>0.78394218000000004</v>
      </c>
      <c r="D52">
        <v>1.1526178</v>
      </c>
      <c r="E52">
        <v>9.0880796999999998</v>
      </c>
      <c r="F52">
        <v>1.1526178</v>
      </c>
      <c r="G52">
        <v>470.06276000000003</v>
      </c>
      <c r="H52">
        <v>55.225171000000003</v>
      </c>
      <c r="I52">
        <v>9.2974537999999995</v>
      </c>
      <c r="J52">
        <v>195.24408</v>
      </c>
      <c r="K52">
        <v>61.646757999999998</v>
      </c>
      <c r="L52">
        <v>75.435153</v>
      </c>
      <c r="M52">
        <v>203933.08</v>
      </c>
      <c r="N52">
        <v>260194.34</v>
      </c>
      <c r="O52">
        <v>86.345309999999998</v>
      </c>
      <c r="P52">
        <v>19.997744000000001</v>
      </c>
      <c r="Q52">
        <v>943.86355000000003</v>
      </c>
      <c r="R52">
        <v>636355.31999999995</v>
      </c>
      <c r="S52">
        <v>531911.63</v>
      </c>
      <c r="T52" s="1">
        <v>1.5418586999999999E-6</v>
      </c>
      <c r="U52" s="1">
        <v>1.2416678999999999E-6</v>
      </c>
      <c r="V52">
        <v>5.6970375999999998</v>
      </c>
      <c r="W52">
        <v>2052.6842000000001</v>
      </c>
      <c r="X52">
        <v>21.786532000000001</v>
      </c>
      <c r="Y52">
        <v>1175.1858</v>
      </c>
      <c r="Z52">
        <v>1562.9996000000001</v>
      </c>
      <c r="AA52">
        <v>259.27721000000003</v>
      </c>
      <c r="AB52">
        <v>438.59395000000001</v>
      </c>
      <c r="AC52">
        <v>268431.59000000003</v>
      </c>
      <c r="AD52">
        <v>18651.356</v>
      </c>
      <c r="AE52">
        <v>116148.01</v>
      </c>
      <c r="AF52">
        <v>0.96996830000000001</v>
      </c>
      <c r="AG52">
        <v>0.96931157999999995</v>
      </c>
      <c r="AH52">
        <v>0.31438841000000001</v>
      </c>
    </row>
    <row r="53" spans="1:34" x14ac:dyDescent="0.2">
      <c r="A53" t="s">
        <v>145</v>
      </c>
      <c r="B53" t="s">
        <v>138</v>
      </c>
      <c r="C53">
        <v>118.31957</v>
      </c>
      <c r="D53">
        <v>80.991178000000005</v>
      </c>
      <c r="E53">
        <v>375.91136</v>
      </c>
      <c r="F53">
        <v>80.991178000000005</v>
      </c>
      <c r="G53">
        <v>46519.73</v>
      </c>
      <c r="H53">
        <v>20164.695</v>
      </c>
      <c r="I53">
        <v>1501.7429</v>
      </c>
      <c r="J53">
        <v>28593.753000000001</v>
      </c>
      <c r="K53">
        <v>6576.8238000000001</v>
      </c>
      <c r="L53">
        <v>7140.1196</v>
      </c>
      <c r="M53">
        <v>16040919</v>
      </c>
      <c r="N53">
        <v>20078215</v>
      </c>
      <c r="O53">
        <v>5677.2321000000002</v>
      </c>
      <c r="P53">
        <v>2306.6678999999999</v>
      </c>
      <c r="Q53">
        <v>1574260.6</v>
      </c>
      <c r="R53" s="1">
        <v>462152490</v>
      </c>
      <c r="S53" s="1">
        <v>323722550</v>
      </c>
      <c r="T53">
        <v>3.3662010000000002E-4</v>
      </c>
      <c r="U53">
        <v>2.8005625000000002E-4</v>
      </c>
      <c r="V53">
        <v>1416.8302000000001</v>
      </c>
      <c r="W53">
        <v>273230.40999999997</v>
      </c>
      <c r="X53">
        <v>5173.8478999999998</v>
      </c>
      <c r="Y53">
        <v>160377.64000000001</v>
      </c>
      <c r="Z53">
        <v>90790.474000000002</v>
      </c>
      <c r="AA53">
        <v>41389.985999999997</v>
      </c>
      <c r="AB53">
        <v>30541.846000000001</v>
      </c>
      <c r="AC53">
        <v>15166173</v>
      </c>
      <c r="AD53">
        <v>1177350.1000000001</v>
      </c>
      <c r="AE53">
        <v>23353572</v>
      </c>
      <c r="AF53">
        <v>2015.4179999999999</v>
      </c>
      <c r="AG53">
        <v>112.77809000000001</v>
      </c>
      <c r="AH53">
        <v>684.30710999999997</v>
      </c>
    </row>
    <row r="54" spans="1:34" x14ac:dyDescent="0.2">
      <c r="A54" t="s">
        <v>146</v>
      </c>
      <c r="B54" t="s">
        <v>138</v>
      </c>
      <c r="C54">
        <v>143133.93</v>
      </c>
      <c r="D54">
        <v>119227.27</v>
      </c>
      <c r="E54">
        <v>116564.66</v>
      </c>
      <c r="F54">
        <v>119227.27</v>
      </c>
      <c r="G54">
        <v>26655714</v>
      </c>
      <c r="H54">
        <v>12867866</v>
      </c>
      <c r="I54">
        <v>2691585.6</v>
      </c>
      <c r="J54">
        <v>29958797</v>
      </c>
      <c r="K54">
        <v>7958255.7000000002</v>
      </c>
      <c r="L54">
        <v>6894368.7999999998</v>
      </c>
      <c r="M54" s="1">
        <v>19499347000</v>
      </c>
      <c r="N54" s="1">
        <v>24080032000</v>
      </c>
      <c r="O54">
        <v>14842433</v>
      </c>
      <c r="P54">
        <v>2643836.2999999998</v>
      </c>
      <c r="Q54">
        <v>30934627</v>
      </c>
      <c r="R54" s="1">
        <v>188730480000</v>
      </c>
      <c r="S54" s="1">
        <v>193790920000</v>
      </c>
      <c r="T54">
        <v>2.7780912</v>
      </c>
      <c r="U54">
        <v>0.59624655000000004</v>
      </c>
      <c r="V54">
        <v>719189.62</v>
      </c>
      <c r="W54" s="1">
        <v>171213170</v>
      </c>
      <c r="X54">
        <v>2568448.6</v>
      </c>
      <c r="Y54" s="1">
        <v>363754840</v>
      </c>
      <c r="Z54" s="1">
        <v>129930040</v>
      </c>
      <c r="AA54" s="1">
        <v>103366600</v>
      </c>
      <c r="AB54">
        <v>53754018</v>
      </c>
      <c r="AC54" s="1">
        <v>26172319000</v>
      </c>
      <c r="AD54" s="1">
        <v>2200126000</v>
      </c>
      <c r="AE54">
        <v>42820340</v>
      </c>
      <c r="AF54">
        <v>23631.236000000001</v>
      </c>
      <c r="AG54">
        <v>27526.224999999999</v>
      </c>
      <c r="AH54">
        <v>34050.493000000002</v>
      </c>
    </row>
    <row r="55" spans="1:34" x14ac:dyDescent="0.2">
      <c r="A55" t="s">
        <v>147</v>
      </c>
      <c r="B55" t="s">
        <v>138</v>
      </c>
      <c r="C55">
        <v>845.43105000000003</v>
      </c>
      <c r="D55">
        <v>1650.3294000000001</v>
      </c>
      <c r="E55">
        <v>656.59979999999996</v>
      </c>
      <c r="F55">
        <v>1650.3294000000001</v>
      </c>
      <c r="G55">
        <v>290265.46000000002</v>
      </c>
      <c r="H55">
        <v>301999</v>
      </c>
      <c r="I55">
        <v>13262.001</v>
      </c>
      <c r="J55">
        <v>81636.184999999998</v>
      </c>
      <c r="K55">
        <v>109484.22</v>
      </c>
      <c r="L55">
        <v>40468.413</v>
      </c>
      <c r="M55" s="1">
        <v>154538650</v>
      </c>
      <c r="N55" s="1">
        <v>185052890</v>
      </c>
      <c r="O55">
        <v>76010.053</v>
      </c>
      <c r="P55">
        <v>26587.899000000001</v>
      </c>
      <c r="Q55">
        <v>111124.4</v>
      </c>
      <c r="R55" s="1">
        <v>445520880</v>
      </c>
      <c r="S55" s="1">
        <v>445876870</v>
      </c>
      <c r="T55">
        <v>1.9595465000000001E-4</v>
      </c>
      <c r="U55">
        <v>1.7550694000000001E-4</v>
      </c>
      <c r="V55">
        <v>4756.0164999999997</v>
      </c>
      <c r="W55">
        <v>2018680.9</v>
      </c>
      <c r="X55">
        <v>35695.411</v>
      </c>
      <c r="Y55">
        <v>842677.72</v>
      </c>
      <c r="Z55">
        <v>892805.38</v>
      </c>
      <c r="AA55">
        <v>299734.73</v>
      </c>
      <c r="AB55">
        <v>281100.61</v>
      </c>
      <c r="AC55">
        <v>60979333</v>
      </c>
      <c r="AD55">
        <v>8553941.5999999996</v>
      </c>
      <c r="AE55">
        <v>29843593</v>
      </c>
      <c r="AF55">
        <v>80.619873999999996</v>
      </c>
      <c r="AG55">
        <v>120.42394</v>
      </c>
      <c r="AH55">
        <v>567.17966999999999</v>
      </c>
    </row>
    <row r="56" spans="1:34" x14ac:dyDescent="0.2">
      <c r="A56" t="s">
        <v>148</v>
      </c>
      <c r="B56" t="s">
        <v>138</v>
      </c>
      <c r="C56">
        <v>10.709759999999999</v>
      </c>
      <c r="D56">
        <v>11.81427</v>
      </c>
      <c r="E56">
        <v>58.659633999999997</v>
      </c>
      <c r="F56">
        <v>11.81427</v>
      </c>
      <c r="G56">
        <v>19560.295999999998</v>
      </c>
      <c r="H56">
        <v>10350.746999999999</v>
      </c>
      <c r="I56">
        <v>284.78426000000002</v>
      </c>
      <c r="J56">
        <v>3827.8912999999998</v>
      </c>
      <c r="K56">
        <v>710.38368000000003</v>
      </c>
      <c r="L56">
        <v>857.89209000000005</v>
      </c>
      <c r="M56">
        <v>11919218</v>
      </c>
      <c r="N56">
        <v>15245342</v>
      </c>
      <c r="O56">
        <v>3283.9686000000002</v>
      </c>
      <c r="P56">
        <v>526.60292000000004</v>
      </c>
      <c r="Q56">
        <v>127737.60000000001</v>
      </c>
      <c r="R56">
        <v>39184483</v>
      </c>
      <c r="S56">
        <v>32410671</v>
      </c>
      <c r="T56" s="1">
        <v>5.4558760000000001E-5</v>
      </c>
      <c r="U56" s="1">
        <v>9.2755987000000005E-6</v>
      </c>
      <c r="V56">
        <v>108.97624999999999</v>
      </c>
      <c r="W56">
        <v>109931.74</v>
      </c>
      <c r="X56">
        <v>603.87319000000002</v>
      </c>
      <c r="Y56">
        <v>26084.352999999999</v>
      </c>
      <c r="Z56">
        <v>154021.76000000001</v>
      </c>
      <c r="AA56">
        <v>6724.7003999999997</v>
      </c>
      <c r="AB56">
        <v>18138.113000000001</v>
      </c>
      <c r="AC56">
        <v>72431604</v>
      </c>
      <c r="AD56">
        <v>4057076.3</v>
      </c>
      <c r="AE56">
        <v>10621751</v>
      </c>
      <c r="AF56">
        <v>56.266177999999996</v>
      </c>
      <c r="AG56">
        <v>58.749741</v>
      </c>
      <c r="AH56">
        <v>24.458238999999999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38A8-DD79-499A-9FED-C3B37F3A78F4}">
  <dimension ref="A2:AH56"/>
  <sheetViews>
    <sheetView topLeftCell="A15" workbookViewId="0">
      <selection activeCell="H39" sqref="H39"/>
    </sheetView>
  </sheetViews>
  <sheetFormatPr baseColWidth="10" defaultColWidth="8.83203125" defaultRowHeight="15" x14ac:dyDescent="0.2"/>
  <cols>
    <col min="1" max="1" width="39.83203125" customWidth="1"/>
    <col min="2" max="2" width="10.5" customWidth="1"/>
  </cols>
  <sheetData>
    <row r="2" spans="1:2" x14ac:dyDescent="0.2">
      <c r="A2" t="s">
        <v>0</v>
      </c>
      <c r="B2" t="s">
        <v>1</v>
      </c>
    </row>
    <row r="3" spans="1:2" x14ac:dyDescent="0.2">
      <c r="A3" t="s">
        <v>2</v>
      </c>
      <c r="B3" t="s">
        <v>3</v>
      </c>
    </row>
    <row r="4" spans="1:2" x14ac:dyDescent="0.2">
      <c r="A4" t="s">
        <v>4</v>
      </c>
      <c r="B4" t="s">
        <v>561</v>
      </c>
    </row>
    <row r="5" spans="1:2" x14ac:dyDescent="0.2">
      <c r="A5" t="s">
        <v>5</v>
      </c>
      <c r="B5" t="s">
        <v>562</v>
      </c>
    </row>
    <row r="6" spans="1:2" x14ac:dyDescent="0.2">
      <c r="A6" t="s">
        <v>6</v>
      </c>
      <c r="B6" t="s">
        <v>563</v>
      </c>
    </row>
    <row r="7" spans="1:2" x14ac:dyDescent="0.2">
      <c r="A7" t="s">
        <v>7</v>
      </c>
      <c r="B7" t="s">
        <v>562</v>
      </c>
    </row>
    <row r="8" spans="1:2" x14ac:dyDescent="0.2">
      <c r="A8" t="s">
        <v>8</v>
      </c>
      <c r="B8" t="s">
        <v>564</v>
      </c>
    </row>
    <row r="9" spans="1:2" x14ac:dyDescent="0.2">
      <c r="A9" t="s">
        <v>10</v>
      </c>
      <c r="B9" t="s">
        <v>565</v>
      </c>
    </row>
    <row r="10" spans="1:2" x14ac:dyDescent="0.2">
      <c r="A10" t="s">
        <v>11</v>
      </c>
      <c r="B10" t="s">
        <v>566</v>
      </c>
    </row>
    <row r="11" spans="1:2" x14ac:dyDescent="0.2">
      <c r="A11" t="s">
        <v>13</v>
      </c>
      <c r="B11" t="s">
        <v>567</v>
      </c>
    </row>
    <row r="12" spans="1:2" x14ac:dyDescent="0.2">
      <c r="A12" t="s">
        <v>15</v>
      </c>
      <c r="B12" t="s">
        <v>568</v>
      </c>
    </row>
    <row r="13" spans="1:2" x14ac:dyDescent="0.2">
      <c r="A13" t="s">
        <v>17</v>
      </c>
      <c r="B13" t="s">
        <v>569</v>
      </c>
    </row>
    <row r="14" spans="1:2" x14ac:dyDescent="0.2">
      <c r="A14" t="s">
        <v>18</v>
      </c>
      <c r="B14" t="s">
        <v>570</v>
      </c>
    </row>
    <row r="15" spans="1:2" x14ac:dyDescent="0.2">
      <c r="A15" t="s">
        <v>19</v>
      </c>
      <c r="B15" t="s">
        <v>571</v>
      </c>
    </row>
    <row r="16" spans="1:2" x14ac:dyDescent="0.2">
      <c r="A16" t="s">
        <v>20</v>
      </c>
      <c r="B16" t="s">
        <v>572</v>
      </c>
    </row>
    <row r="17" spans="1:2" x14ac:dyDescent="0.2">
      <c r="A17" t="s">
        <v>21</v>
      </c>
      <c r="B17" t="s">
        <v>573</v>
      </c>
    </row>
    <row r="18" spans="1:2" x14ac:dyDescent="0.2">
      <c r="A18" t="s">
        <v>22</v>
      </c>
      <c r="B18" t="s">
        <v>574</v>
      </c>
    </row>
    <row r="19" spans="1:2" x14ac:dyDescent="0.2">
      <c r="A19" t="s">
        <v>23</v>
      </c>
      <c r="B19" t="s">
        <v>575</v>
      </c>
    </row>
    <row r="20" spans="1:2" x14ac:dyDescent="0.2">
      <c r="A20" t="s">
        <v>24</v>
      </c>
      <c r="B20" t="s">
        <v>576</v>
      </c>
    </row>
    <row r="21" spans="1:2" x14ac:dyDescent="0.2">
      <c r="A21" t="s">
        <v>25</v>
      </c>
      <c r="B21" t="s">
        <v>577</v>
      </c>
    </row>
    <row r="22" spans="1:2" x14ac:dyDescent="0.2">
      <c r="A22" t="s">
        <v>26</v>
      </c>
      <c r="B22" t="s">
        <v>578</v>
      </c>
    </row>
    <row r="23" spans="1:2" x14ac:dyDescent="0.2">
      <c r="A23" t="s">
        <v>27</v>
      </c>
      <c r="B23" t="s">
        <v>579</v>
      </c>
    </row>
    <row r="24" spans="1:2" x14ac:dyDescent="0.2">
      <c r="A24" t="s">
        <v>29</v>
      </c>
      <c r="B24" t="s">
        <v>580</v>
      </c>
    </row>
    <row r="25" spans="1:2" x14ac:dyDescent="0.2">
      <c r="A25" t="s">
        <v>31</v>
      </c>
      <c r="B25" t="s">
        <v>581</v>
      </c>
    </row>
    <row r="26" spans="1:2" x14ac:dyDescent="0.2">
      <c r="A26" t="s">
        <v>33</v>
      </c>
      <c r="B26" t="s">
        <v>582</v>
      </c>
    </row>
    <row r="27" spans="1:2" x14ac:dyDescent="0.2">
      <c r="A27" t="s">
        <v>34</v>
      </c>
      <c r="B27" t="s">
        <v>583</v>
      </c>
    </row>
    <row r="28" spans="1:2" x14ac:dyDescent="0.2">
      <c r="A28" t="s">
        <v>36</v>
      </c>
      <c r="B28" t="s">
        <v>584</v>
      </c>
    </row>
    <row r="29" spans="1:2" x14ac:dyDescent="0.2">
      <c r="A29" t="s">
        <v>37</v>
      </c>
      <c r="B29" t="s">
        <v>585</v>
      </c>
    </row>
    <row r="30" spans="1:2" x14ac:dyDescent="0.2">
      <c r="A30" t="s">
        <v>39</v>
      </c>
      <c r="B30" t="s">
        <v>586</v>
      </c>
    </row>
    <row r="31" spans="1:2" x14ac:dyDescent="0.2">
      <c r="A31" t="s">
        <v>41</v>
      </c>
      <c r="B31" t="s">
        <v>587</v>
      </c>
    </row>
    <row r="32" spans="1:2" x14ac:dyDescent="0.2">
      <c r="A32" t="s">
        <v>43</v>
      </c>
      <c r="B32" t="s">
        <v>588</v>
      </c>
    </row>
    <row r="33" spans="1:34" x14ac:dyDescent="0.2">
      <c r="A33" t="s">
        <v>44</v>
      </c>
      <c r="B33" t="s">
        <v>589</v>
      </c>
    </row>
    <row r="34" spans="1:34" x14ac:dyDescent="0.2">
      <c r="A34" t="s">
        <v>46</v>
      </c>
      <c r="B34" t="s">
        <v>590</v>
      </c>
    </row>
    <row r="35" spans="1:34" x14ac:dyDescent="0.2">
      <c r="A35" t="s">
        <v>47</v>
      </c>
      <c r="B35" t="s">
        <v>591</v>
      </c>
    </row>
    <row r="36" spans="1:34" x14ac:dyDescent="0.2">
      <c r="A36" t="s">
        <v>75</v>
      </c>
      <c r="B36" t="s">
        <v>76</v>
      </c>
    </row>
    <row r="37" spans="1:34" x14ac:dyDescent="0.2">
      <c r="A37" t="s">
        <v>77</v>
      </c>
      <c r="B37" t="s">
        <v>78</v>
      </c>
    </row>
    <row r="38" spans="1:34" x14ac:dyDescent="0.2">
      <c r="A38" t="s">
        <v>79</v>
      </c>
      <c r="B38" t="s">
        <v>80</v>
      </c>
    </row>
    <row r="39" spans="1:34" x14ac:dyDescent="0.2">
      <c r="A39" t="s">
        <v>81</v>
      </c>
      <c r="B39" t="s">
        <v>82</v>
      </c>
    </row>
    <row r="40" spans="1:34" x14ac:dyDescent="0.2">
      <c r="A40" t="s">
        <v>83</v>
      </c>
      <c r="B40" t="s">
        <v>84</v>
      </c>
    </row>
    <row r="41" spans="1:34" x14ac:dyDescent="0.2">
      <c r="A41" t="s">
        <v>85</v>
      </c>
      <c r="B41" t="s">
        <v>84</v>
      </c>
    </row>
    <row r="42" spans="1:34" x14ac:dyDescent="0.2">
      <c r="A42" t="s">
        <v>86</v>
      </c>
      <c r="B42" t="s">
        <v>87</v>
      </c>
    </row>
    <row r="43" spans="1:34" x14ac:dyDescent="0.2">
      <c r="A43" t="s">
        <v>88</v>
      </c>
      <c r="B43" t="s">
        <v>89</v>
      </c>
    </row>
    <row r="45" spans="1:34" x14ac:dyDescent="0.2">
      <c r="A45" t="s">
        <v>87</v>
      </c>
      <c r="B45" t="s">
        <v>90</v>
      </c>
      <c r="C45" t="s">
        <v>513</v>
      </c>
      <c r="D45" t="s">
        <v>521</v>
      </c>
      <c r="E45" t="s">
        <v>522</v>
      </c>
      <c r="F45" t="s">
        <v>521</v>
      </c>
      <c r="G45" t="s">
        <v>525</v>
      </c>
      <c r="H45" t="s">
        <v>592</v>
      </c>
      <c r="I45" t="s">
        <v>519</v>
      </c>
      <c r="J45" t="s">
        <v>527</v>
      </c>
      <c r="K45" t="s">
        <v>528</v>
      </c>
      <c r="L45" t="s">
        <v>529</v>
      </c>
      <c r="M45" t="s">
        <v>533</v>
      </c>
      <c r="N45" t="s">
        <v>532</v>
      </c>
      <c r="O45" t="s">
        <v>593</v>
      </c>
      <c r="P45" t="s">
        <v>536</v>
      </c>
      <c r="Q45" t="s">
        <v>594</v>
      </c>
      <c r="R45" t="s">
        <v>539</v>
      </c>
      <c r="S45" t="s">
        <v>540</v>
      </c>
      <c r="T45" t="s">
        <v>543</v>
      </c>
      <c r="U45" t="s">
        <v>544</v>
      </c>
      <c r="V45" t="s">
        <v>546</v>
      </c>
      <c r="W45" t="s">
        <v>548</v>
      </c>
      <c r="X45" t="s">
        <v>595</v>
      </c>
      <c r="Y45" t="s">
        <v>551</v>
      </c>
      <c r="Z45" t="s">
        <v>552</v>
      </c>
      <c r="AA45" t="s">
        <v>554</v>
      </c>
      <c r="AB45" t="s">
        <v>555</v>
      </c>
      <c r="AC45" t="s">
        <v>557</v>
      </c>
      <c r="AD45" t="s">
        <v>596</v>
      </c>
      <c r="AE45" t="s">
        <v>510</v>
      </c>
      <c r="AF45" t="s">
        <v>597</v>
      </c>
      <c r="AG45" t="s">
        <v>598</v>
      </c>
      <c r="AH45" t="s">
        <v>599</v>
      </c>
    </row>
    <row r="46" spans="1:34" x14ac:dyDescent="0.2">
      <c r="A46" t="s">
        <v>137</v>
      </c>
      <c r="B46" t="s">
        <v>138</v>
      </c>
      <c r="C46" s="58" cm="1">
        <f t="array" ref="C46">SUM(C48+C48:C56)</f>
        <v>11962.311670179999</v>
      </c>
      <c r="D46" s="58" cm="1">
        <f t="array" ref="D46">SUM(D48+D48:D56)</f>
        <v>15226.616191800002</v>
      </c>
      <c r="E46" s="58" cm="1">
        <f t="array" ref="E46">SUM(E48+E48:E56)</f>
        <v>26364.035226699994</v>
      </c>
      <c r="F46" s="58" cm="1">
        <f t="array" ref="F46">SUM(F48+F48:F56)</f>
        <v>15226.616191800002</v>
      </c>
      <c r="G46" s="58" cm="1">
        <f t="array" ref="G46">SUM(G48+G48:G56)</f>
        <v>3985723.3997599995</v>
      </c>
      <c r="H46" s="58" cm="1">
        <f t="array" ref="H46">SUM(H48+H48:H56)</f>
        <v>875812.10727100004</v>
      </c>
      <c r="I46" s="58" cm="1">
        <f t="array" ref="I46">SUM(I48+I48:I56)</f>
        <v>318988.79251379997</v>
      </c>
      <c r="J46" s="58" cm="1">
        <f t="array" ref="J46">SUM(J48+J48:J56)</f>
        <v>4917104.5083799995</v>
      </c>
      <c r="K46" s="58" cm="1">
        <f t="array" ref="K46">SUM(K48+K48:K56)</f>
        <v>1029569.5013379999</v>
      </c>
      <c r="L46" s="58" cm="1">
        <f t="array" ref="L46">SUM(L48+L48:L56)</f>
        <v>1059804.1634430001</v>
      </c>
      <c r="M46" s="58" cm="1">
        <f t="array" ref="M46">SUM(M48+M48:M56)</f>
        <v>2205637115.0799999</v>
      </c>
      <c r="N46" s="58" cm="1">
        <f t="array" ref="N46">SUM(N48+N48:N56)</f>
        <v>2746431771.3400002</v>
      </c>
      <c r="O46" s="58" cm="1">
        <f t="array" ref="O46">SUM(O48+O48:O56)</f>
        <v>799503.22890999995</v>
      </c>
      <c r="P46" s="58" cm="1">
        <f t="array" ref="P46">SUM(P48+P48:P56)</f>
        <v>392486.37786399998</v>
      </c>
      <c r="Q46" s="58" cm="1">
        <f t="array" ref="Q46">SUM(Q48+Q48:Q56)</f>
        <v>5668489.5865500001</v>
      </c>
      <c r="R46" s="58" cm="1">
        <f t="array" ref="R46">SUM(R48+R48:R56)</f>
        <v>15660475918.32</v>
      </c>
      <c r="S46" s="58" cm="1">
        <f t="array" ref="S46">SUM(S48+S48:S56)</f>
        <v>15309648762.630001</v>
      </c>
      <c r="T46" s="58" cm="1">
        <f t="array" ref="T46">SUM(T48+T48:T56)</f>
        <v>0.29693905298869999</v>
      </c>
      <c r="U46" s="58" cm="1">
        <f t="array" ref="U46">SUM(U48+U48:U56)</f>
        <v>0.15631268103660001</v>
      </c>
      <c r="V46" s="58" cm="1">
        <f t="array" ref="V46">SUM(V48+V48:V56)</f>
        <v>93766.046837600006</v>
      </c>
      <c r="W46" s="58" cm="1">
        <f t="array" ref="W46">SUM(W48+W48:W56)</f>
        <v>15228700.2412</v>
      </c>
      <c r="X46" s="58" cm="1">
        <f t="array" ref="X46">SUM(X48+X48:X56)</f>
        <v>294025.10842200002</v>
      </c>
      <c r="Y46" s="58" cm="1">
        <f t="array" ref="Y46">SUM(Y48+Y48:Y56)</f>
        <v>19245346.915799998</v>
      </c>
      <c r="Z46" s="58" cm="1">
        <f t="array" ref="Z46">SUM(Z48+Z48:Z56)</f>
        <v>10652027.910599999</v>
      </c>
      <c r="AA46" s="58" cm="1">
        <f t="array" ref="AA46">SUM(AA48+AA48:AA56)</f>
        <v>5146260.98061</v>
      </c>
      <c r="AB46" s="58" cm="1">
        <f t="array" ref="AB46">SUM(AB48+AB48:AB56)</f>
        <v>3659748.7619500002</v>
      </c>
      <c r="AC46" s="58" cm="1">
        <f t="array" ref="AC46">SUM(AC48+AC48:AC56)</f>
        <v>2435620894.5900002</v>
      </c>
      <c r="AD46" s="58" cm="1">
        <f t="array" ref="AD46">SUM(AD48+AD48:AD56)</f>
        <v>180989765.30599999</v>
      </c>
      <c r="AE46" s="58" cm="1">
        <f t="array" ref="AE46">SUM(AE48+AE48:AE56)</f>
        <v>2290954758.4099998</v>
      </c>
      <c r="AF46" s="58" cm="1">
        <f t="array" ref="AF46">SUM(AF48+AF48:AF56)</f>
        <v>6847.1441642999989</v>
      </c>
      <c r="AG46" s="58" cm="1">
        <f t="array" ref="AG46">SUM(AG48+AG48:AG56)</f>
        <v>5440.8606865800002</v>
      </c>
      <c r="AH46" s="58" cm="1">
        <f t="array" ref="AH46">SUM(AH48+AH48:AH56)</f>
        <v>4698.2074264100002</v>
      </c>
    </row>
    <row r="47" spans="1:34" x14ac:dyDescent="0.2">
      <c r="A47" t="s">
        <v>139</v>
      </c>
      <c r="B47" t="s">
        <v>138</v>
      </c>
      <c r="C47">
        <v>4978.6129000000001</v>
      </c>
      <c r="D47">
        <v>5884.4141</v>
      </c>
      <c r="E47">
        <v>49949.053</v>
      </c>
      <c r="F47">
        <v>5884.4141</v>
      </c>
      <c r="G47">
        <v>1928410.1</v>
      </c>
      <c r="H47">
        <v>284617.3</v>
      </c>
      <c r="I47">
        <v>141223.56</v>
      </c>
      <c r="J47">
        <v>2763992.6</v>
      </c>
      <c r="K47">
        <v>511635.16</v>
      </c>
      <c r="L47">
        <v>507244.33</v>
      </c>
      <c r="M47" s="1">
        <v>1776461200</v>
      </c>
      <c r="N47" s="1">
        <v>2272722300</v>
      </c>
      <c r="O47">
        <v>463588.81</v>
      </c>
      <c r="P47">
        <v>710403.44</v>
      </c>
      <c r="Q47">
        <v>2350773.7999999998</v>
      </c>
      <c r="R47" s="1">
        <v>5823166800</v>
      </c>
      <c r="S47" s="1">
        <v>5615643000</v>
      </c>
      <c r="T47">
        <v>1.3745719E-2</v>
      </c>
      <c r="U47">
        <v>7.7746839E-3</v>
      </c>
      <c r="V47">
        <v>38342.535000000003</v>
      </c>
      <c r="W47">
        <v>9267600.0999999996</v>
      </c>
      <c r="X47">
        <v>129564.57</v>
      </c>
      <c r="Y47">
        <v>9426919.1999999993</v>
      </c>
      <c r="Z47">
        <v>6750391</v>
      </c>
      <c r="AA47">
        <v>2463412.9</v>
      </c>
      <c r="AB47">
        <v>2370655.9</v>
      </c>
      <c r="AC47" s="1">
        <v>1027131600</v>
      </c>
      <c r="AD47" s="1">
        <v>101836020</v>
      </c>
      <c r="AE47" s="1">
        <v>1336057100</v>
      </c>
      <c r="AF47">
        <v>2990.9962</v>
      </c>
      <c r="AG47">
        <v>3387.7438999999999</v>
      </c>
      <c r="AH47">
        <v>1747.5415</v>
      </c>
    </row>
    <row r="48" spans="1:34" x14ac:dyDescent="0.2">
      <c r="A48" t="s">
        <v>140</v>
      </c>
      <c r="B48" t="s">
        <v>138</v>
      </c>
      <c r="C48">
        <v>983.50599999999997</v>
      </c>
      <c r="D48">
        <v>1255.8565000000001</v>
      </c>
      <c r="E48">
        <v>2384.5358999999999</v>
      </c>
      <c r="F48">
        <v>1255.8565000000001</v>
      </c>
      <c r="G48">
        <v>334936.21999999997</v>
      </c>
      <c r="H48">
        <v>47184.856</v>
      </c>
      <c r="I48">
        <v>28232.876</v>
      </c>
      <c r="J48">
        <v>450871.35</v>
      </c>
      <c r="K48">
        <v>84885.077999999994</v>
      </c>
      <c r="L48">
        <v>91672.017000000007</v>
      </c>
      <c r="M48" s="1">
        <v>186563170</v>
      </c>
      <c r="N48" s="1">
        <v>233179630</v>
      </c>
      <c r="O48">
        <v>61106.993999999999</v>
      </c>
      <c r="P48">
        <v>33918.396000000001</v>
      </c>
      <c r="Q48">
        <v>359424.36</v>
      </c>
      <c r="R48" s="1">
        <v>1319761400</v>
      </c>
      <c r="S48" s="1">
        <v>1298436300</v>
      </c>
      <c r="T48">
        <v>2.7711341E-2</v>
      </c>
      <c r="U48">
        <v>1.4800188000000001E-2</v>
      </c>
      <c r="V48">
        <v>7771.2597999999998</v>
      </c>
      <c r="W48">
        <v>1148289.1000000001</v>
      </c>
      <c r="X48">
        <v>22000.257000000001</v>
      </c>
      <c r="Y48">
        <v>1640626.5</v>
      </c>
      <c r="Z48">
        <v>869836.98</v>
      </c>
      <c r="AA48">
        <v>429263.8</v>
      </c>
      <c r="AB48">
        <v>302035.18</v>
      </c>
      <c r="AC48" s="1">
        <v>210841220</v>
      </c>
      <c r="AD48">
        <v>15329692</v>
      </c>
      <c r="AE48" s="1">
        <v>195904710</v>
      </c>
      <c r="AF48">
        <v>426.50216999999998</v>
      </c>
      <c r="AG48">
        <v>469.28870000000001</v>
      </c>
      <c r="AH48">
        <v>287.71354000000002</v>
      </c>
    </row>
    <row r="49" spans="1:34" x14ac:dyDescent="0.2">
      <c r="A49" t="s">
        <v>141</v>
      </c>
      <c r="B49" t="s">
        <v>138</v>
      </c>
      <c r="C49">
        <v>99.834952000000001</v>
      </c>
      <c r="D49">
        <v>129.65584000000001</v>
      </c>
      <c r="E49">
        <v>281.0052</v>
      </c>
      <c r="F49">
        <v>129.65584000000001</v>
      </c>
      <c r="G49">
        <v>33301.667999999998</v>
      </c>
      <c r="H49">
        <v>6141.0258999999996</v>
      </c>
      <c r="I49">
        <v>3025.1925000000001</v>
      </c>
      <c r="J49">
        <v>73606.297999999995</v>
      </c>
      <c r="K49">
        <v>13827.882</v>
      </c>
      <c r="L49">
        <v>13301.549000000001</v>
      </c>
      <c r="M49">
        <v>28179942</v>
      </c>
      <c r="N49">
        <v>35273794</v>
      </c>
      <c r="O49">
        <v>7867.7223000000004</v>
      </c>
      <c r="P49">
        <v>5446.9678000000004</v>
      </c>
      <c r="Q49">
        <v>34340.038</v>
      </c>
      <c r="R49" s="1">
        <v>535644300</v>
      </c>
      <c r="S49" s="1">
        <v>533143270</v>
      </c>
      <c r="T49">
        <v>1.6303602E-4</v>
      </c>
      <c r="U49">
        <v>9.0858710999999997E-4</v>
      </c>
      <c r="V49">
        <v>923.69259</v>
      </c>
      <c r="W49">
        <v>131857.48000000001</v>
      </c>
      <c r="X49">
        <v>2712.6044999999999</v>
      </c>
      <c r="Y49">
        <v>186925.71</v>
      </c>
      <c r="Z49">
        <v>119185.59</v>
      </c>
      <c r="AA49">
        <v>50639.02</v>
      </c>
      <c r="AB49">
        <v>46030.637000000002</v>
      </c>
      <c r="AC49">
        <v>27518763</v>
      </c>
      <c r="AD49">
        <v>2116458.7999999998</v>
      </c>
      <c r="AE49">
        <v>25397900</v>
      </c>
      <c r="AF49">
        <v>42.121699</v>
      </c>
      <c r="AG49">
        <v>44.219847000000001</v>
      </c>
      <c r="AH49">
        <v>24.944835000000001</v>
      </c>
    </row>
    <row r="50" spans="1:34" x14ac:dyDescent="0.2">
      <c r="A50" t="s">
        <v>142</v>
      </c>
      <c r="B50" t="s">
        <v>138</v>
      </c>
      <c r="C50">
        <v>46.676976000000003</v>
      </c>
      <c r="D50">
        <v>68.539026000000007</v>
      </c>
      <c r="E50">
        <v>96.853432999999995</v>
      </c>
      <c r="F50">
        <v>68.539026000000007</v>
      </c>
      <c r="G50">
        <v>16923.902999999998</v>
      </c>
      <c r="H50">
        <v>3866.4742000000001</v>
      </c>
      <c r="I50">
        <v>1447.261</v>
      </c>
      <c r="J50">
        <v>23516.021000000001</v>
      </c>
      <c r="K50">
        <v>4415.7311</v>
      </c>
      <c r="L50">
        <v>4281.9206000000004</v>
      </c>
      <c r="M50">
        <v>9492677</v>
      </c>
      <c r="N50">
        <v>11892514</v>
      </c>
      <c r="O50">
        <v>2778.6075999999998</v>
      </c>
      <c r="P50">
        <v>1752.7941000000001</v>
      </c>
      <c r="Q50">
        <v>18246.645</v>
      </c>
      <c r="R50" s="1">
        <v>196176470</v>
      </c>
      <c r="S50" s="1">
        <v>195140710</v>
      </c>
      <c r="T50">
        <v>2.016966E-4</v>
      </c>
      <c r="U50">
        <v>7.5287507000000001E-4</v>
      </c>
      <c r="V50">
        <v>287.09926000000002</v>
      </c>
      <c r="W50">
        <v>43058.906999999999</v>
      </c>
      <c r="X50">
        <v>1138.6213</v>
      </c>
      <c r="Y50">
        <v>59695.726999999999</v>
      </c>
      <c r="Z50">
        <v>50225.487000000001</v>
      </c>
      <c r="AA50">
        <v>16902.026999999998</v>
      </c>
      <c r="AB50">
        <v>15527.982</v>
      </c>
      <c r="AC50">
        <v>10876780</v>
      </c>
      <c r="AD50">
        <v>794370.75</v>
      </c>
      <c r="AE50">
        <v>19574.400000000001</v>
      </c>
      <c r="AF50">
        <v>19.067245</v>
      </c>
      <c r="AG50">
        <v>21.123616999999999</v>
      </c>
      <c r="AH50">
        <v>11.407624</v>
      </c>
    </row>
    <row r="51" spans="1:34" x14ac:dyDescent="0.2">
      <c r="A51" t="s">
        <v>143</v>
      </c>
      <c r="B51" t="s">
        <v>138</v>
      </c>
      <c r="C51">
        <v>502.74770999999998</v>
      </c>
      <c r="D51">
        <v>362.78442999999999</v>
      </c>
      <c r="E51">
        <v>520.27936</v>
      </c>
      <c r="F51">
        <v>362.78442999999999</v>
      </c>
      <c r="G51">
        <v>114660.04</v>
      </c>
      <c r="H51">
        <v>30693.19</v>
      </c>
      <c r="I51">
        <v>8564.8767000000007</v>
      </c>
      <c r="J51">
        <v>98507.808000000005</v>
      </c>
      <c r="K51">
        <v>22821.017</v>
      </c>
      <c r="L51">
        <v>38479.332000000002</v>
      </c>
      <c r="M51">
        <v>59815038</v>
      </c>
      <c r="N51">
        <v>73416261</v>
      </c>
      <c r="O51">
        <v>46364.68</v>
      </c>
      <c r="P51">
        <v>8330.7441999999992</v>
      </c>
      <c r="Q51">
        <v>103796.42</v>
      </c>
      <c r="R51" s="1">
        <v>391773470</v>
      </c>
      <c r="S51" s="1">
        <v>397229890</v>
      </c>
      <c r="T51">
        <v>9.4361175000000005E-3</v>
      </c>
      <c r="U51">
        <v>3.0916291999999999E-3</v>
      </c>
      <c r="V51">
        <v>4277.5685000000003</v>
      </c>
      <c r="W51">
        <v>583498.56000000006</v>
      </c>
      <c r="X51">
        <v>14338.197</v>
      </c>
      <c r="Y51">
        <v>781072.79</v>
      </c>
      <c r="Z51">
        <v>322533.21000000002</v>
      </c>
      <c r="AA51">
        <v>218986.62</v>
      </c>
      <c r="AB51">
        <v>123809.59</v>
      </c>
      <c r="AC51">
        <v>69983805</v>
      </c>
      <c r="AD51">
        <v>5487498.2000000002</v>
      </c>
      <c r="AE51" s="1">
        <v>121277560</v>
      </c>
      <c r="AF51">
        <v>183.82974999999999</v>
      </c>
      <c r="AG51">
        <v>194.85457</v>
      </c>
      <c r="AH51">
        <v>254.23007999999999</v>
      </c>
    </row>
    <row r="52" spans="1:34" x14ac:dyDescent="0.2">
      <c r="A52" t="s">
        <v>144</v>
      </c>
      <c r="B52" t="s">
        <v>138</v>
      </c>
      <c r="C52">
        <v>0.78394218000000004</v>
      </c>
      <c r="D52">
        <v>1.1526178</v>
      </c>
      <c r="E52">
        <v>9.0880796999999998</v>
      </c>
      <c r="F52">
        <v>1.1526178</v>
      </c>
      <c r="G52">
        <v>470.06276000000003</v>
      </c>
      <c r="H52">
        <v>55.225171000000003</v>
      </c>
      <c r="I52">
        <v>9.2974537999999995</v>
      </c>
      <c r="J52">
        <v>195.24408</v>
      </c>
      <c r="K52">
        <v>61.646757999999998</v>
      </c>
      <c r="L52">
        <v>75.435153</v>
      </c>
      <c r="M52">
        <v>203933.08</v>
      </c>
      <c r="N52">
        <v>260194.34</v>
      </c>
      <c r="O52">
        <v>86.345309999999998</v>
      </c>
      <c r="P52">
        <v>19.997744000000001</v>
      </c>
      <c r="Q52">
        <v>943.86355000000003</v>
      </c>
      <c r="R52">
        <v>636355.31999999995</v>
      </c>
      <c r="S52">
        <v>531911.63</v>
      </c>
      <c r="T52" s="1">
        <v>1.5418586999999999E-6</v>
      </c>
      <c r="U52" s="1">
        <v>1.2416678999999999E-6</v>
      </c>
      <c r="V52">
        <v>5.6970375999999998</v>
      </c>
      <c r="W52">
        <v>2052.6842000000001</v>
      </c>
      <c r="X52">
        <v>21.786532000000001</v>
      </c>
      <c r="Y52">
        <v>1175.1858</v>
      </c>
      <c r="Z52">
        <v>1562.9996000000001</v>
      </c>
      <c r="AA52">
        <v>259.27721000000003</v>
      </c>
      <c r="AB52">
        <v>438.59395000000001</v>
      </c>
      <c r="AC52">
        <v>268431.59000000003</v>
      </c>
      <c r="AD52">
        <v>18651.356</v>
      </c>
      <c r="AE52">
        <v>116148.01</v>
      </c>
      <c r="AF52">
        <v>0.96996830000000001</v>
      </c>
      <c r="AG52">
        <v>0.96931157999999995</v>
      </c>
      <c r="AH52">
        <v>0.31438841000000001</v>
      </c>
    </row>
    <row r="53" spans="1:34" x14ac:dyDescent="0.2">
      <c r="A53" t="s">
        <v>145</v>
      </c>
      <c r="B53" t="s">
        <v>138</v>
      </c>
      <c r="C53">
        <v>118.31957</v>
      </c>
      <c r="D53">
        <v>80.991178000000005</v>
      </c>
      <c r="E53">
        <v>375.91136</v>
      </c>
      <c r="F53">
        <v>80.991178000000005</v>
      </c>
      <c r="G53">
        <v>46519.73</v>
      </c>
      <c r="H53">
        <v>20164.695</v>
      </c>
      <c r="I53">
        <v>1501.7429</v>
      </c>
      <c r="J53">
        <v>28593.753000000001</v>
      </c>
      <c r="K53">
        <v>6576.8238000000001</v>
      </c>
      <c r="L53">
        <v>7140.1196</v>
      </c>
      <c r="M53">
        <v>16040919</v>
      </c>
      <c r="N53">
        <v>20078215</v>
      </c>
      <c r="O53">
        <v>5677.2321000000002</v>
      </c>
      <c r="P53">
        <v>2306.6678999999999</v>
      </c>
      <c r="Q53">
        <v>1574260.6</v>
      </c>
      <c r="R53" s="1">
        <v>462152490</v>
      </c>
      <c r="S53" s="1">
        <v>323722550</v>
      </c>
      <c r="T53">
        <v>3.3662010000000002E-4</v>
      </c>
      <c r="U53">
        <v>2.8005625000000002E-4</v>
      </c>
      <c r="V53">
        <v>1416.8302000000001</v>
      </c>
      <c r="W53">
        <v>273230.40999999997</v>
      </c>
      <c r="X53">
        <v>5173.8478999999998</v>
      </c>
      <c r="Y53">
        <v>160377.64000000001</v>
      </c>
      <c r="Z53">
        <v>90790.474000000002</v>
      </c>
      <c r="AA53">
        <v>41389.985999999997</v>
      </c>
      <c r="AB53">
        <v>30541.846000000001</v>
      </c>
      <c r="AC53">
        <v>15166173</v>
      </c>
      <c r="AD53">
        <v>1177350.1000000001</v>
      </c>
      <c r="AE53">
        <v>23353572</v>
      </c>
      <c r="AF53">
        <v>2015.4179999999999</v>
      </c>
      <c r="AG53">
        <v>112.77809000000001</v>
      </c>
      <c r="AH53">
        <v>684.30710999999997</v>
      </c>
    </row>
    <row r="54" spans="1:34" x14ac:dyDescent="0.2">
      <c r="A54" t="s">
        <v>146</v>
      </c>
      <c r="B54" t="s">
        <v>138</v>
      </c>
      <c r="C54" s="57">
        <f>'Infrastructure - CED'!C52</f>
        <v>502.74770999999998</v>
      </c>
      <c r="D54" s="57">
        <f>'Infrastructure - CED'!D52</f>
        <v>362.78442999999999</v>
      </c>
      <c r="E54" s="57">
        <f>'Infrastructure - CED'!E52</f>
        <v>520.27936</v>
      </c>
      <c r="F54" s="57">
        <f>'Infrastructure - CED'!F52</f>
        <v>362.78442999999999</v>
      </c>
      <c r="G54" s="57">
        <f>'Infrastructure - CED'!G52</f>
        <v>114660.04</v>
      </c>
      <c r="H54" s="57">
        <f>'Infrastructure - CED'!H52</f>
        <v>30693.19</v>
      </c>
      <c r="I54" s="57">
        <f>'Infrastructure - CED'!I52</f>
        <v>8564.8767000000007</v>
      </c>
      <c r="J54" s="57">
        <f>'Infrastructure - CED'!J52</f>
        <v>98507.808000000005</v>
      </c>
      <c r="K54" s="57">
        <f>'Infrastructure - CED'!K52</f>
        <v>22821.017</v>
      </c>
      <c r="L54" s="57">
        <f>'Infrastructure - CED'!L52</f>
        <v>38479.332000000002</v>
      </c>
      <c r="M54" s="57">
        <f>'Infrastructure - CED'!M52</f>
        <v>59815038</v>
      </c>
      <c r="N54" s="57">
        <f>'Infrastructure - CED'!N52</f>
        <v>73416261</v>
      </c>
      <c r="O54" s="57">
        <f>'Infrastructure - CED'!O52</f>
        <v>46364.68</v>
      </c>
      <c r="P54" s="57">
        <f>'Infrastructure - CED'!P52</f>
        <v>8330.7441999999992</v>
      </c>
      <c r="Q54" s="57">
        <f>'Infrastructure - CED'!Q52</f>
        <v>103796.42</v>
      </c>
      <c r="R54" s="57">
        <f>'Infrastructure - CED'!R52</f>
        <v>391773470</v>
      </c>
      <c r="S54" s="57">
        <f>'Infrastructure - CED'!S52</f>
        <v>397229890</v>
      </c>
      <c r="T54" s="57">
        <f>'Infrastructure - CED'!T52</f>
        <v>9.4361175000000005E-3</v>
      </c>
      <c r="U54" s="57">
        <f>'Infrastructure - CED'!U52</f>
        <v>3.0916291999999999E-3</v>
      </c>
      <c r="V54" s="57">
        <f>'Infrastructure - CED'!V52</f>
        <v>4277.5685000000003</v>
      </c>
      <c r="W54" s="57">
        <f>'Infrastructure - CED'!W52</f>
        <v>583498.56000000006</v>
      </c>
      <c r="X54" s="57">
        <f>'Infrastructure - CED'!X52</f>
        <v>14338.197</v>
      </c>
      <c r="Y54" s="57">
        <f>'Infrastructure - CED'!Y52</f>
        <v>781072.79</v>
      </c>
      <c r="Z54" s="57">
        <f>'Infrastructure - CED'!Z52</f>
        <v>322533.21000000002</v>
      </c>
      <c r="AA54" s="57">
        <f>'Infrastructure - CED'!AA52</f>
        <v>218986.62</v>
      </c>
      <c r="AB54" s="57">
        <f>'Infrastructure - CED'!AB52</f>
        <v>123809.59</v>
      </c>
      <c r="AC54" s="57">
        <f>'Infrastructure - CED'!AC52</f>
        <v>69983805</v>
      </c>
      <c r="AD54" s="57">
        <f>'Infrastructure - CED'!AD52</f>
        <v>5487498.2000000002</v>
      </c>
      <c r="AE54" s="57">
        <f>'Infrastructure - CED'!AE52</f>
        <v>121277560</v>
      </c>
      <c r="AF54" s="57">
        <f>'Infrastructure - CED'!AF52</f>
        <v>183.82974999999999</v>
      </c>
      <c r="AG54" s="57">
        <f>'Infrastructure - CED'!AG52</f>
        <v>194.85457</v>
      </c>
      <c r="AH54" s="57">
        <f>'Infrastructure - CED'!AH52</f>
        <v>254.23007999999999</v>
      </c>
    </row>
    <row r="55" spans="1:34" x14ac:dyDescent="0.2">
      <c r="A55" t="s">
        <v>147</v>
      </c>
      <c r="B55" t="s">
        <v>138</v>
      </c>
      <c r="C55">
        <v>845.43105000000003</v>
      </c>
      <c r="D55">
        <v>1650.3294000000001</v>
      </c>
      <c r="E55">
        <v>656.59979999999996</v>
      </c>
      <c r="F55">
        <v>1650.3294000000001</v>
      </c>
      <c r="G55">
        <v>290265.46000000002</v>
      </c>
      <c r="H55">
        <v>301999</v>
      </c>
      <c r="I55">
        <v>13262.001</v>
      </c>
      <c r="J55">
        <v>81636.184999999998</v>
      </c>
      <c r="K55">
        <v>109484.22</v>
      </c>
      <c r="L55">
        <v>40468.413</v>
      </c>
      <c r="M55" s="1">
        <v>154538650</v>
      </c>
      <c r="N55" s="1">
        <v>185052890</v>
      </c>
      <c r="O55">
        <v>76010.053</v>
      </c>
      <c r="P55">
        <v>26587.899000000001</v>
      </c>
      <c r="Q55">
        <v>111124.4</v>
      </c>
      <c r="R55" s="1">
        <v>445520880</v>
      </c>
      <c r="S55" s="1">
        <v>445876870</v>
      </c>
      <c r="T55">
        <v>1.9595465000000001E-4</v>
      </c>
      <c r="U55">
        <v>1.7550694000000001E-4</v>
      </c>
      <c r="V55">
        <v>4756.0164999999997</v>
      </c>
      <c r="W55">
        <v>2018680.9</v>
      </c>
      <c r="X55">
        <v>35695.411</v>
      </c>
      <c r="Y55">
        <v>842677.72</v>
      </c>
      <c r="Z55">
        <v>892805.38</v>
      </c>
      <c r="AA55">
        <v>299734.73</v>
      </c>
      <c r="AB55">
        <v>281100.61</v>
      </c>
      <c r="AC55">
        <v>60979333</v>
      </c>
      <c r="AD55">
        <v>8553941.5999999996</v>
      </c>
      <c r="AE55">
        <v>29843593</v>
      </c>
      <c r="AF55">
        <v>80.619873999999996</v>
      </c>
      <c r="AG55">
        <v>120.42394</v>
      </c>
      <c r="AH55">
        <v>567.17966999999999</v>
      </c>
    </row>
    <row r="56" spans="1:34" x14ac:dyDescent="0.2">
      <c r="A56" t="s">
        <v>148</v>
      </c>
      <c r="B56" t="s">
        <v>138</v>
      </c>
      <c r="C56">
        <v>10.709759999999999</v>
      </c>
      <c r="D56">
        <v>11.81427</v>
      </c>
      <c r="E56">
        <v>58.659633999999997</v>
      </c>
      <c r="F56">
        <v>11.81427</v>
      </c>
      <c r="G56">
        <v>19560.295999999998</v>
      </c>
      <c r="H56">
        <v>10350.746999999999</v>
      </c>
      <c r="I56">
        <v>284.78426000000002</v>
      </c>
      <c r="J56">
        <v>3827.8912999999998</v>
      </c>
      <c r="K56">
        <v>710.38368000000003</v>
      </c>
      <c r="L56">
        <v>857.89209000000005</v>
      </c>
      <c r="M56">
        <v>11919218</v>
      </c>
      <c r="N56">
        <v>15245342</v>
      </c>
      <c r="O56">
        <v>3283.9686000000002</v>
      </c>
      <c r="P56">
        <v>526.60292000000004</v>
      </c>
      <c r="Q56">
        <v>127737.60000000001</v>
      </c>
      <c r="R56">
        <v>39184483</v>
      </c>
      <c r="S56">
        <v>32410671</v>
      </c>
      <c r="T56" s="1">
        <v>5.4558760000000001E-5</v>
      </c>
      <c r="U56" s="1">
        <v>9.2755987000000005E-6</v>
      </c>
      <c r="V56">
        <v>108.97624999999999</v>
      </c>
      <c r="W56">
        <v>109931.74</v>
      </c>
      <c r="X56">
        <v>603.87319000000002</v>
      </c>
      <c r="Y56">
        <v>26084.352999999999</v>
      </c>
      <c r="Z56">
        <v>154021.76000000001</v>
      </c>
      <c r="AA56">
        <v>6724.7003999999997</v>
      </c>
      <c r="AB56">
        <v>18138.113000000001</v>
      </c>
      <c r="AC56">
        <v>72431604</v>
      </c>
      <c r="AD56">
        <v>4057076.3</v>
      </c>
      <c r="AE56">
        <v>10621751</v>
      </c>
      <c r="AF56">
        <v>56.266177999999996</v>
      </c>
      <c r="AG56">
        <v>58.749741</v>
      </c>
      <c r="AH56">
        <v>24.458238999999999</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5D09-AD08-4881-BB72-9BDF7B570E98}">
  <dimension ref="A2:AH52"/>
  <sheetViews>
    <sheetView workbookViewId="0">
      <selection activeCell="T40" sqref="T40"/>
    </sheetView>
  </sheetViews>
  <sheetFormatPr baseColWidth="10" defaultColWidth="8.83203125" defaultRowHeight="15" x14ac:dyDescent="0.2"/>
  <cols>
    <col min="1" max="1" width="23.83203125" customWidth="1"/>
  </cols>
  <sheetData>
    <row r="2" spans="1:2" x14ac:dyDescent="0.2">
      <c r="A2" t="s">
        <v>0</v>
      </c>
      <c r="B2" t="s">
        <v>1</v>
      </c>
    </row>
    <row r="3" spans="1:2" x14ac:dyDescent="0.2">
      <c r="A3" t="s">
        <v>2</v>
      </c>
      <c r="B3" t="s">
        <v>3</v>
      </c>
    </row>
    <row r="4" spans="1:2" x14ac:dyDescent="0.2">
      <c r="A4" t="s">
        <v>4</v>
      </c>
      <c r="B4" t="s">
        <v>561</v>
      </c>
    </row>
    <row r="5" spans="1:2" x14ac:dyDescent="0.2">
      <c r="A5" t="s">
        <v>5</v>
      </c>
      <c r="B5" t="s">
        <v>562</v>
      </c>
    </row>
    <row r="6" spans="1:2" x14ac:dyDescent="0.2">
      <c r="A6" t="s">
        <v>6</v>
      </c>
      <c r="B6" t="s">
        <v>563</v>
      </c>
    </row>
    <row r="7" spans="1:2" x14ac:dyDescent="0.2">
      <c r="A7" t="s">
        <v>7</v>
      </c>
      <c r="B7" t="s">
        <v>562</v>
      </c>
    </row>
    <row r="8" spans="1:2" x14ac:dyDescent="0.2">
      <c r="A8" t="s">
        <v>8</v>
      </c>
      <c r="B8" t="s">
        <v>564</v>
      </c>
    </row>
    <row r="9" spans="1:2" x14ac:dyDescent="0.2">
      <c r="A9" t="s">
        <v>10</v>
      </c>
      <c r="B9" t="s">
        <v>565</v>
      </c>
    </row>
    <row r="10" spans="1:2" x14ac:dyDescent="0.2">
      <c r="A10" t="s">
        <v>11</v>
      </c>
      <c r="B10" t="s">
        <v>566</v>
      </c>
    </row>
    <row r="11" spans="1:2" x14ac:dyDescent="0.2">
      <c r="A11" t="s">
        <v>13</v>
      </c>
      <c r="B11" t="s">
        <v>567</v>
      </c>
    </row>
    <row r="12" spans="1:2" x14ac:dyDescent="0.2">
      <c r="A12" t="s">
        <v>15</v>
      </c>
      <c r="B12" t="s">
        <v>568</v>
      </c>
    </row>
    <row r="13" spans="1:2" x14ac:dyDescent="0.2">
      <c r="A13" t="s">
        <v>17</v>
      </c>
      <c r="B13" t="s">
        <v>569</v>
      </c>
    </row>
    <row r="14" spans="1:2" x14ac:dyDescent="0.2">
      <c r="A14" t="s">
        <v>18</v>
      </c>
      <c r="B14" t="s">
        <v>570</v>
      </c>
    </row>
    <row r="15" spans="1:2" x14ac:dyDescent="0.2">
      <c r="A15" t="s">
        <v>19</v>
      </c>
      <c r="B15" t="s">
        <v>571</v>
      </c>
    </row>
    <row r="16" spans="1:2" x14ac:dyDescent="0.2">
      <c r="A16" t="s">
        <v>20</v>
      </c>
      <c r="B16" t="s">
        <v>572</v>
      </c>
    </row>
    <row r="17" spans="1:2" x14ac:dyDescent="0.2">
      <c r="A17" t="s">
        <v>21</v>
      </c>
      <c r="B17" t="s">
        <v>573</v>
      </c>
    </row>
    <row r="18" spans="1:2" x14ac:dyDescent="0.2">
      <c r="A18" t="s">
        <v>22</v>
      </c>
      <c r="B18" t="s">
        <v>574</v>
      </c>
    </row>
    <row r="19" spans="1:2" x14ac:dyDescent="0.2">
      <c r="A19" t="s">
        <v>23</v>
      </c>
      <c r="B19" t="s">
        <v>575</v>
      </c>
    </row>
    <row r="20" spans="1:2" x14ac:dyDescent="0.2">
      <c r="A20" t="s">
        <v>24</v>
      </c>
      <c r="B20" t="s">
        <v>576</v>
      </c>
    </row>
    <row r="21" spans="1:2" x14ac:dyDescent="0.2">
      <c r="A21" t="s">
        <v>25</v>
      </c>
      <c r="B21" t="s">
        <v>577</v>
      </c>
    </row>
    <row r="22" spans="1:2" x14ac:dyDescent="0.2">
      <c r="A22" t="s">
        <v>26</v>
      </c>
      <c r="B22" t="s">
        <v>578</v>
      </c>
    </row>
    <row r="23" spans="1:2" x14ac:dyDescent="0.2">
      <c r="A23" t="s">
        <v>27</v>
      </c>
      <c r="B23" t="s">
        <v>579</v>
      </c>
    </row>
    <row r="24" spans="1:2" x14ac:dyDescent="0.2">
      <c r="A24" t="s">
        <v>29</v>
      </c>
      <c r="B24" t="s">
        <v>580</v>
      </c>
    </row>
    <row r="25" spans="1:2" x14ac:dyDescent="0.2">
      <c r="A25" t="s">
        <v>31</v>
      </c>
      <c r="B25" t="s">
        <v>581</v>
      </c>
    </row>
    <row r="26" spans="1:2" x14ac:dyDescent="0.2">
      <c r="A26" t="s">
        <v>33</v>
      </c>
      <c r="B26" t="s">
        <v>582</v>
      </c>
    </row>
    <row r="27" spans="1:2" x14ac:dyDescent="0.2">
      <c r="A27" t="s">
        <v>34</v>
      </c>
      <c r="B27" t="s">
        <v>583</v>
      </c>
    </row>
    <row r="28" spans="1:2" x14ac:dyDescent="0.2">
      <c r="A28" t="s">
        <v>36</v>
      </c>
      <c r="B28" t="s">
        <v>584</v>
      </c>
    </row>
    <row r="29" spans="1:2" x14ac:dyDescent="0.2">
      <c r="A29" t="s">
        <v>37</v>
      </c>
      <c r="B29" t="s">
        <v>585</v>
      </c>
    </row>
    <row r="30" spans="1:2" x14ac:dyDescent="0.2">
      <c r="A30" t="s">
        <v>39</v>
      </c>
      <c r="B30" t="s">
        <v>586</v>
      </c>
    </row>
    <row r="31" spans="1:2" x14ac:dyDescent="0.2">
      <c r="A31" t="s">
        <v>41</v>
      </c>
      <c r="B31" t="s">
        <v>587</v>
      </c>
    </row>
    <row r="32" spans="1:2" x14ac:dyDescent="0.2">
      <c r="A32" t="s">
        <v>43</v>
      </c>
      <c r="B32" t="s">
        <v>588</v>
      </c>
    </row>
    <row r="33" spans="1:34" x14ac:dyDescent="0.2">
      <c r="A33" t="s">
        <v>44</v>
      </c>
      <c r="B33" t="s">
        <v>589</v>
      </c>
    </row>
    <row r="34" spans="1:34" x14ac:dyDescent="0.2">
      <c r="A34" t="s">
        <v>46</v>
      </c>
      <c r="B34" t="s">
        <v>590</v>
      </c>
    </row>
    <row r="35" spans="1:34" x14ac:dyDescent="0.2">
      <c r="A35" t="s">
        <v>47</v>
      </c>
      <c r="B35" t="s">
        <v>591</v>
      </c>
    </row>
    <row r="36" spans="1:34" x14ac:dyDescent="0.2">
      <c r="A36" t="s">
        <v>75</v>
      </c>
      <c r="B36" t="s">
        <v>149</v>
      </c>
    </row>
    <row r="37" spans="1:34" x14ac:dyDescent="0.2">
      <c r="A37" t="s">
        <v>77</v>
      </c>
      <c r="B37" t="s">
        <v>78</v>
      </c>
    </row>
    <row r="38" spans="1:34" x14ac:dyDescent="0.2">
      <c r="A38" t="s">
        <v>79</v>
      </c>
      <c r="B38" t="s">
        <v>80</v>
      </c>
    </row>
    <row r="39" spans="1:34" x14ac:dyDescent="0.2">
      <c r="A39" t="s">
        <v>81</v>
      </c>
      <c r="B39" t="s">
        <v>82</v>
      </c>
    </row>
    <row r="40" spans="1:34" x14ac:dyDescent="0.2">
      <c r="A40" t="s">
        <v>83</v>
      </c>
      <c r="B40" t="s">
        <v>84</v>
      </c>
    </row>
    <row r="41" spans="1:34" x14ac:dyDescent="0.2">
      <c r="A41" t="s">
        <v>85</v>
      </c>
      <c r="B41" t="s">
        <v>84</v>
      </c>
    </row>
    <row r="42" spans="1:34" x14ac:dyDescent="0.2">
      <c r="A42" t="s">
        <v>86</v>
      </c>
      <c r="B42" t="s">
        <v>87</v>
      </c>
    </row>
    <row r="43" spans="1:34" x14ac:dyDescent="0.2">
      <c r="A43" t="s">
        <v>88</v>
      </c>
      <c r="B43" t="s">
        <v>89</v>
      </c>
    </row>
    <row r="45" spans="1:34" x14ac:dyDescent="0.2">
      <c r="A45" t="s">
        <v>87</v>
      </c>
      <c r="B45" t="s">
        <v>90</v>
      </c>
      <c r="C45" t="s">
        <v>513</v>
      </c>
      <c r="D45" t="s">
        <v>521</v>
      </c>
      <c r="E45" t="s">
        <v>522</v>
      </c>
      <c r="F45" t="s">
        <v>521</v>
      </c>
      <c r="G45" t="s">
        <v>525</v>
      </c>
      <c r="H45" t="s">
        <v>592</v>
      </c>
      <c r="I45" t="s">
        <v>519</v>
      </c>
      <c r="J45" t="s">
        <v>527</v>
      </c>
      <c r="K45" t="s">
        <v>528</v>
      </c>
      <c r="L45" t="s">
        <v>529</v>
      </c>
      <c r="M45" t="s">
        <v>533</v>
      </c>
      <c r="N45" t="s">
        <v>532</v>
      </c>
      <c r="O45" t="s">
        <v>593</v>
      </c>
      <c r="P45" t="s">
        <v>536</v>
      </c>
      <c r="Q45" t="s">
        <v>594</v>
      </c>
      <c r="R45" t="s">
        <v>539</v>
      </c>
      <c r="S45" t="s">
        <v>540</v>
      </c>
      <c r="T45" t="s">
        <v>543</v>
      </c>
      <c r="U45" t="s">
        <v>544</v>
      </c>
      <c r="V45" t="s">
        <v>546</v>
      </c>
      <c r="W45" t="s">
        <v>548</v>
      </c>
      <c r="X45" t="s">
        <v>595</v>
      </c>
      <c r="Y45" t="s">
        <v>551</v>
      </c>
      <c r="Z45" t="s">
        <v>552</v>
      </c>
      <c r="AA45" t="s">
        <v>554</v>
      </c>
      <c r="AB45" t="s">
        <v>555</v>
      </c>
      <c r="AC45" t="s">
        <v>557</v>
      </c>
      <c r="AD45" t="s">
        <v>596</v>
      </c>
      <c r="AE45" t="s">
        <v>510</v>
      </c>
      <c r="AF45" t="s">
        <v>597</v>
      </c>
      <c r="AG45" t="s">
        <v>598</v>
      </c>
      <c r="AH45" t="s">
        <v>599</v>
      </c>
    </row>
    <row r="46" spans="1:34" x14ac:dyDescent="0.2">
      <c r="A46" t="s">
        <v>137</v>
      </c>
      <c r="B46" t="s">
        <v>138</v>
      </c>
      <c r="C46" s="1">
        <v>6861.2819</v>
      </c>
      <c r="D46" s="1">
        <v>8045.7062999999998</v>
      </c>
      <c r="E46" s="1">
        <v>53481.302000000003</v>
      </c>
      <c r="F46" s="1">
        <v>8045.7062999999998</v>
      </c>
      <c r="G46">
        <v>2534824.7999999998</v>
      </c>
      <c r="H46">
        <v>394839.33</v>
      </c>
      <c r="I46">
        <v>187365.95</v>
      </c>
      <c r="J46">
        <v>3449996.6</v>
      </c>
      <c r="K46">
        <v>647145.6</v>
      </c>
      <c r="L46">
        <v>661814.89</v>
      </c>
      <c r="M46" s="1">
        <v>2069288700</v>
      </c>
      <c r="N46" s="1">
        <v>2636982500</v>
      </c>
      <c r="O46">
        <v>587636.38</v>
      </c>
      <c r="P46">
        <v>777960.99</v>
      </c>
      <c r="Q46">
        <v>4399548.2</v>
      </c>
      <c r="R46" s="1">
        <v>8701165700</v>
      </c>
      <c r="S46" s="1">
        <v>8341458900</v>
      </c>
      <c r="T46" s="1">
        <v>5.7112027000000003E-2</v>
      </c>
      <c r="U46" s="1">
        <v>3.0798612E-2</v>
      </c>
      <c r="V46" s="1">
        <v>53147.697</v>
      </c>
      <c r="W46">
        <v>11449028</v>
      </c>
      <c r="X46">
        <v>176309.1</v>
      </c>
      <c r="Y46">
        <v>12393755</v>
      </c>
      <c r="Z46">
        <v>8215527.7999999998</v>
      </c>
      <c r="AA46">
        <v>3254710.5</v>
      </c>
      <c r="AB46">
        <v>2886682.2</v>
      </c>
      <c r="AC46" s="1">
        <v>1372241500</v>
      </c>
      <c r="AD46" s="1">
        <v>127056330</v>
      </c>
      <c r="AE46" s="1">
        <v>1727061000</v>
      </c>
      <c r="AF46" s="1">
        <v>5646.9805999999999</v>
      </c>
      <c r="AG46" s="1">
        <v>4294.7096000000001</v>
      </c>
      <c r="AH46" s="1">
        <v>3013.7118</v>
      </c>
    </row>
    <row r="47" spans="1:34" x14ac:dyDescent="0.2">
      <c r="A47" t="s">
        <v>139</v>
      </c>
      <c r="B47" t="s">
        <v>138</v>
      </c>
      <c r="C47" s="1">
        <v>5004.4414999999999</v>
      </c>
      <c r="D47" s="1">
        <v>5979.6184000000003</v>
      </c>
      <c r="E47" s="1">
        <v>49727.875</v>
      </c>
      <c r="F47" s="1">
        <v>5979.6184000000003</v>
      </c>
      <c r="G47">
        <v>1948213</v>
      </c>
      <c r="H47">
        <v>285103.71999999997</v>
      </c>
      <c r="I47">
        <v>141122.06</v>
      </c>
      <c r="J47">
        <v>2769436.9</v>
      </c>
      <c r="K47">
        <v>513719.9</v>
      </c>
      <c r="L47">
        <v>505774.59</v>
      </c>
      <c r="M47" s="1">
        <v>1763824000</v>
      </c>
      <c r="N47" s="1">
        <v>2256340900</v>
      </c>
      <c r="O47">
        <v>461482.17</v>
      </c>
      <c r="P47">
        <v>725845.89</v>
      </c>
      <c r="Q47">
        <v>2330890.7000000002</v>
      </c>
      <c r="R47" s="1">
        <v>5781848200</v>
      </c>
      <c r="S47" s="1">
        <v>5575711200</v>
      </c>
      <c r="T47" s="1">
        <v>1.3521205E-2</v>
      </c>
      <c r="U47" s="1">
        <v>7.7531166999999998E-3</v>
      </c>
      <c r="V47" s="1">
        <v>38416.178999999996</v>
      </c>
      <c r="W47">
        <v>9252360.5999999996</v>
      </c>
      <c r="X47">
        <v>130324.23</v>
      </c>
      <c r="Y47">
        <v>9555404.0999999996</v>
      </c>
      <c r="Z47">
        <v>6711825.2000000002</v>
      </c>
      <c r="AA47">
        <v>2494727.7999999998</v>
      </c>
      <c r="AB47">
        <v>2360001.2999999998</v>
      </c>
      <c r="AC47" s="1">
        <v>1021607500</v>
      </c>
      <c r="AD47" s="1">
        <v>101191730</v>
      </c>
      <c r="AE47" s="1">
        <v>1327155000</v>
      </c>
      <c r="AF47" s="1">
        <v>3013.3409999999999</v>
      </c>
      <c r="AG47" s="1">
        <v>3404.8168000000001</v>
      </c>
      <c r="AH47" s="1">
        <v>1767.8616999999999</v>
      </c>
    </row>
    <row r="48" spans="1:34" x14ac:dyDescent="0.2">
      <c r="A48" t="s">
        <v>150</v>
      </c>
      <c r="B48" t="s">
        <v>138</v>
      </c>
      <c r="C48" s="1">
        <v>1090.6333999999999</v>
      </c>
      <c r="D48" s="1">
        <v>1421.7056</v>
      </c>
      <c r="E48" s="1">
        <v>2481.0812000000001</v>
      </c>
      <c r="F48" s="1">
        <v>1421.7056</v>
      </c>
      <c r="G48">
        <v>375698.04</v>
      </c>
      <c r="H48" s="1">
        <v>49483.523000000001</v>
      </c>
      <c r="I48" s="1">
        <v>31658.531999999999</v>
      </c>
      <c r="J48">
        <v>455740.98</v>
      </c>
      <c r="K48" s="1">
        <v>85706.127999999997</v>
      </c>
      <c r="L48" s="1">
        <v>92783.198999999993</v>
      </c>
      <c r="M48" s="1">
        <v>191790350</v>
      </c>
      <c r="N48" s="1">
        <v>239793010</v>
      </c>
      <c r="O48" s="1">
        <v>63444.252999999997</v>
      </c>
      <c r="P48" s="1">
        <v>34236.442999999999</v>
      </c>
      <c r="Q48">
        <v>410705.6</v>
      </c>
      <c r="R48" s="1">
        <v>1340205400</v>
      </c>
      <c r="S48" s="1">
        <v>1316731500</v>
      </c>
      <c r="T48" s="1">
        <v>3.3452716E-2</v>
      </c>
      <c r="U48" s="1">
        <v>1.7967803000000001E-2</v>
      </c>
      <c r="V48" s="1">
        <v>7866.7038000000002</v>
      </c>
      <c r="W48">
        <v>1172829.6000000001</v>
      </c>
      <c r="X48" s="1">
        <v>22761.449000000001</v>
      </c>
      <c r="Y48">
        <v>1652301.8</v>
      </c>
      <c r="Z48">
        <v>920010.51</v>
      </c>
      <c r="AA48">
        <v>432513.91</v>
      </c>
      <c r="AB48">
        <v>310638.63</v>
      </c>
      <c r="AC48" s="1">
        <v>226736090</v>
      </c>
      <c r="AD48">
        <v>16267419</v>
      </c>
      <c r="AE48" s="1">
        <v>195904710</v>
      </c>
      <c r="AF48" s="1">
        <v>466.81576000000001</v>
      </c>
      <c r="AG48" s="1">
        <v>519.77320999999995</v>
      </c>
      <c r="AH48" s="1">
        <v>302.38405</v>
      </c>
    </row>
    <row r="49" spans="1:34" x14ac:dyDescent="0.2">
      <c r="A49" t="s">
        <v>151</v>
      </c>
      <c r="B49" t="s">
        <v>138</v>
      </c>
      <c r="C49" s="1">
        <v>0.74661160000000004</v>
      </c>
      <c r="D49" s="1">
        <v>1.0977311999999999</v>
      </c>
      <c r="E49" s="1">
        <v>8.6553140000000006</v>
      </c>
      <c r="F49" s="1">
        <v>1.0977311999999999</v>
      </c>
      <c r="G49" s="1">
        <v>447.67881999999997</v>
      </c>
      <c r="H49" s="1">
        <v>52.595401000000003</v>
      </c>
      <c r="I49" s="1">
        <v>8.8547180000000001</v>
      </c>
      <c r="J49" s="1">
        <v>185.94674000000001</v>
      </c>
      <c r="K49" s="1">
        <v>58.711198000000003</v>
      </c>
      <c r="L49" s="1">
        <v>71.843002999999996</v>
      </c>
      <c r="M49">
        <v>194221.99</v>
      </c>
      <c r="N49">
        <v>247804.14</v>
      </c>
      <c r="O49" s="1">
        <v>82.233627999999996</v>
      </c>
      <c r="P49" s="1">
        <v>19.045470000000002</v>
      </c>
      <c r="Q49" s="1">
        <v>898.91767000000004</v>
      </c>
      <c r="R49">
        <v>606052.68000000005</v>
      </c>
      <c r="S49">
        <v>506582.51</v>
      </c>
      <c r="T49" s="1">
        <v>1.4684368000000001E-6</v>
      </c>
      <c r="U49" s="1">
        <v>1.1825408000000001E-6</v>
      </c>
      <c r="V49" s="1">
        <v>5.4257501000000001</v>
      </c>
      <c r="W49" s="1">
        <v>1954.9374</v>
      </c>
      <c r="X49" s="1">
        <v>20.749078000000001</v>
      </c>
      <c r="Y49" s="1">
        <v>1119.2245</v>
      </c>
      <c r="Z49" s="1">
        <v>1488.5709999999999</v>
      </c>
      <c r="AA49" s="1">
        <v>246.93068</v>
      </c>
      <c r="AB49" s="1">
        <v>417.70852000000002</v>
      </c>
      <c r="AC49">
        <v>255649.13</v>
      </c>
      <c r="AD49" s="1">
        <v>17763.197</v>
      </c>
      <c r="AE49">
        <v>110617.16</v>
      </c>
      <c r="AF49" s="1">
        <v>0.92377933999999995</v>
      </c>
      <c r="AG49" s="1">
        <v>0.92315387999999998</v>
      </c>
      <c r="AH49" s="1">
        <v>0.29941752999999999</v>
      </c>
    </row>
    <row r="50" spans="1:34" x14ac:dyDescent="0.2">
      <c r="A50" t="s">
        <v>152</v>
      </c>
      <c r="B50" t="s">
        <v>138</v>
      </c>
      <c r="C50" s="1">
        <v>112.68531</v>
      </c>
      <c r="D50" s="1">
        <v>77.134456</v>
      </c>
      <c r="E50" s="1">
        <v>358.01082000000002</v>
      </c>
      <c r="F50" s="1">
        <v>77.134456</v>
      </c>
      <c r="G50" s="1">
        <v>44304.504999999997</v>
      </c>
      <c r="H50" s="1">
        <v>19204.471000000001</v>
      </c>
      <c r="I50" s="1">
        <v>1430.2312999999999</v>
      </c>
      <c r="J50" s="1">
        <v>27232.146000000001</v>
      </c>
      <c r="K50" s="1">
        <v>6263.6417000000001</v>
      </c>
      <c r="L50" s="1">
        <v>6800.1139000000003</v>
      </c>
      <c r="M50">
        <v>15277066</v>
      </c>
      <c r="N50">
        <v>19122110</v>
      </c>
      <c r="O50" s="1">
        <v>5406.8877000000002</v>
      </c>
      <c r="P50" s="1">
        <v>2196.8265999999999</v>
      </c>
      <c r="Q50">
        <v>1499295.8</v>
      </c>
      <c r="R50" s="1">
        <v>440145230</v>
      </c>
      <c r="S50" s="1">
        <v>308307190</v>
      </c>
      <c r="T50" s="1">
        <v>3.2059056999999999E-4</v>
      </c>
      <c r="U50" s="1">
        <v>2.6672023999999998E-4</v>
      </c>
      <c r="V50" s="1">
        <v>1349.3621000000001</v>
      </c>
      <c r="W50">
        <v>260219.44</v>
      </c>
      <c r="X50" s="1">
        <v>4927.4741999999997</v>
      </c>
      <c r="Y50">
        <v>152740.60999999999</v>
      </c>
      <c r="Z50" s="1">
        <v>86467.118000000002</v>
      </c>
      <c r="AA50" s="1">
        <v>39419.034</v>
      </c>
      <c r="AB50" s="1">
        <v>29087.473000000002</v>
      </c>
      <c r="AC50">
        <v>14443974</v>
      </c>
      <c r="AD50">
        <v>1121285.8</v>
      </c>
      <c r="AE50">
        <v>22241497</v>
      </c>
      <c r="AF50" s="1">
        <v>1919.4457</v>
      </c>
      <c r="AG50" s="1">
        <v>107.40770999999999</v>
      </c>
      <c r="AH50" s="1">
        <v>651.72105999999997</v>
      </c>
    </row>
    <row r="51" spans="1:34" x14ac:dyDescent="0.2">
      <c r="A51" t="s">
        <v>153</v>
      </c>
      <c r="B51" t="s">
        <v>138</v>
      </c>
      <c r="C51" s="1">
        <v>150.02743000000001</v>
      </c>
      <c r="D51" s="1">
        <v>203.36575999999999</v>
      </c>
      <c r="E51" s="1">
        <v>385.39997</v>
      </c>
      <c r="F51" s="1">
        <v>203.36575999999999</v>
      </c>
      <c r="G51" s="1">
        <v>51501.495999999999</v>
      </c>
      <c r="H51" s="1">
        <v>10301.823</v>
      </c>
      <c r="I51" s="1">
        <v>4581.3933999999999</v>
      </c>
      <c r="J51" s="1">
        <v>98892.793000000005</v>
      </c>
      <c r="K51" s="1">
        <v>18576.204000000002</v>
      </c>
      <c r="L51" s="1">
        <v>17905.807000000001</v>
      </c>
      <c r="M51">
        <v>38387981</v>
      </c>
      <c r="N51">
        <v>48062404</v>
      </c>
      <c r="O51" s="1">
        <v>10856.162</v>
      </c>
      <c r="P51" s="1">
        <v>7332.0396000000001</v>
      </c>
      <c r="Q51" s="1">
        <v>53960.760999999999</v>
      </c>
      <c r="R51" s="1">
        <v>746587280</v>
      </c>
      <c r="S51" s="1">
        <v>742972500</v>
      </c>
      <c r="T51" s="1">
        <v>3.7993013000000003E-4</v>
      </c>
      <c r="U51" s="1">
        <v>1.7181595000000001E-3</v>
      </c>
      <c r="V51" s="1">
        <v>1232.4585</v>
      </c>
      <c r="W51">
        <v>178164.74</v>
      </c>
      <c r="X51" s="1">
        <v>3937.0075999999999</v>
      </c>
      <c r="Y51">
        <v>251116.07</v>
      </c>
      <c r="Z51">
        <v>173203.20000000001</v>
      </c>
      <c r="AA51" s="1">
        <v>68816.263999999996</v>
      </c>
      <c r="AB51" s="1">
        <v>62727.523000000001</v>
      </c>
      <c r="AC51">
        <v>39214465</v>
      </c>
      <c r="AD51">
        <v>2970633.6</v>
      </c>
      <c r="AE51">
        <v>60371639</v>
      </c>
      <c r="AF51" s="1">
        <v>62.624594999999999</v>
      </c>
      <c r="AG51" s="1">
        <v>66.934178000000003</v>
      </c>
      <c r="AH51" s="1">
        <v>37.215487000000003</v>
      </c>
    </row>
    <row r="52" spans="1:34" x14ac:dyDescent="0.2">
      <c r="A52" t="s">
        <v>146</v>
      </c>
      <c r="B52" t="s">
        <v>138</v>
      </c>
      <c r="C52" s="1">
        <v>502.74770999999998</v>
      </c>
      <c r="D52" s="1">
        <v>362.78442999999999</v>
      </c>
      <c r="E52" s="1">
        <v>520.27936</v>
      </c>
      <c r="F52" s="1">
        <v>362.78442999999999</v>
      </c>
      <c r="G52">
        <v>114660.04</v>
      </c>
      <c r="H52" s="1">
        <v>30693.19</v>
      </c>
      <c r="I52" s="1">
        <v>8564.8767000000007</v>
      </c>
      <c r="J52" s="1">
        <v>98507.808000000005</v>
      </c>
      <c r="K52" s="1">
        <v>22821.017</v>
      </c>
      <c r="L52" s="1">
        <v>38479.332000000002</v>
      </c>
      <c r="M52">
        <v>59815038</v>
      </c>
      <c r="N52">
        <v>73416261</v>
      </c>
      <c r="O52" s="1">
        <v>46364.68</v>
      </c>
      <c r="P52" s="1">
        <v>8330.7441999999992</v>
      </c>
      <c r="Q52">
        <v>103796.42</v>
      </c>
      <c r="R52" s="1">
        <v>391773470</v>
      </c>
      <c r="S52" s="1">
        <v>397229890</v>
      </c>
      <c r="T52" s="1">
        <v>9.4361175000000005E-3</v>
      </c>
      <c r="U52" s="1">
        <v>3.0916291999999999E-3</v>
      </c>
      <c r="V52" s="1">
        <v>4277.5685000000003</v>
      </c>
      <c r="W52">
        <v>583498.56000000006</v>
      </c>
      <c r="X52" s="1">
        <v>14338.197</v>
      </c>
      <c r="Y52">
        <v>781072.79</v>
      </c>
      <c r="Z52">
        <v>322533.21000000002</v>
      </c>
      <c r="AA52">
        <v>218986.62</v>
      </c>
      <c r="AB52">
        <v>123809.59</v>
      </c>
      <c r="AC52">
        <v>69983805</v>
      </c>
      <c r="AD52">
        <v>5487498.2000000002</v>
      </c>
      <c r="AE52" s="1">
        <v>121277560</v>
      </c>
      <c r="AF52" s="1">
        <v>183.82974999999999</v>
      </c>
      <c r="AG52" s="1">
        <v>194.85457</v>
      </c>
      <c r="AH52" s="1">
        <v>254.23007999999999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4AC7-8568-417E-AF89-AEE304DD642E}">
  <dimension ref="A2:AH55"/>
  <sheetViews>
    <sheetView topLeftCell="G19" workbookViewId="0">
      <selection sqref="A1:AH55"/>
    </sheetView>
  </sheetViews>
  <sheetFormatPr baseColWidth="10" defaultColWidth="8.83203125" defaultRowHeight="15" x14ac:dyDescent="0.2"/>
  <sheetData>
    <row r="2" spans="1:2" x14ac:dyDescent="0.2">
      <c r="A2" t="s">
        <v>0</v>
      </c>
      <c r="B2" t="s">
        <v>1</v>
      </c>
    </row>
    <row r="3" spans="1:2" x14ac:dyDescent="0.2">
      <c r="A3" t="s">
        <v>2</v>
      </c>
      <c r="B3" t="s">
        <v>3</v>
      </c>
    </row>
    <row r="4" spans="1:2" x14ac:dyDescent="0.2">
      <c r="A4" t="s">
        <v>4</v>
      </c>
      <c r="B4" t="s">
        <v>561</v>
      </c>
    </row>
    <row r="5" spans="1:2" x14ac:dyDescent="0.2">
      <c r="A5" t="s">
        <v>5</v>
      </c>
      <c r="B5" t="s">
        <v>562</v>
      </c>
    </row>
    <row r="6" spans="1:2" x14ac:dyDescent="0.2">
      <c r="A6" t="s">
        <v>6</v>
      </c>
      <c r="B6" t="s">
        <v>563</v>
      </c>
    </row>
    <row r="7" spans="1:2" x14ac:dyDescent="0.2">
      <c r="A7" t="s">
        <v>7</v>
      </c>
      <c r="B7" t="s">
        <v>562</v>
      </c>
    </row>
    <row r="8" spans="1:2" x14ac:dyDescent="0.2">
      <c r="A8" t="s">
        <v>8</v>
      </c>
      <c r="B8" t="s">
        <v>564</v>
      </c>
    </row>
    <row r="9" spans="1:2" x14ac:dyDescent="0.2">
      <c r="A9" t="s">
        <v>10</v>
      </c>
      <c r="B9" t="s">
        <v>565</v>
      </c>
    </row>
    <row r="10" spans="1:2" x14ac:dyDescent="0.2">
      <c r="A10" t="s">
        <v>11</v>
      </c>
      <c r="B10" t="s">
        <v>566</v>
      </c>
    </row>
    <row r="11" spans="1:2" x14ac:dyDescent="0.2">
      <c r="A11" t="s">
        <v>13</v>
      </c>
      <c r="B11" t="s">
        <v>567</v>
      </c>
    </row>
    <row r="12" spans="1:2" x14ac:dyDescent="0.2">
      <c r="A12" t="s">
        <v>15</v>
      </c>
      <c r="B12" t="s">
        <v>568</v>
      </c>
    </row>
    <row r="13" spans="1:2" x14ac:dyDescent="0.2">
      <c r="A13" t="s">
        <v>17</v>
      </c>
      <c r="B13" t="s">
        <v>569</v>
      </c>
    </row>
    <row r="14" spans="1:2" x14ac:dyDescent="0.2">
      <c r="A14" t="s">
        <v>18</v>
      </c>
      <c r="B14" t="s">
        <v>570</v>
      </c>
    </row>
    <row r="15" spans="1:2" x14ac:dyDescent="0.2">
      <c r="A15" t="s">
        <v>19</v>
      </c>
      <c r="B15" t="s">
        <v>571</v>
      </c>
    </row>
    <row r="16" spans="1:2" x14ac:dyDescent="0.2">
      <c r="A16" t="s">
        <v>20</v>
      </c>
      <c r="B16" t="s">
        <v>572</v>
      </c>
    </row>
    <row r="17" spans="1:2" x14ac:dyDescent="0.2">
      <c r="A17" t="s">
        <v>21</v>
      </c>
      <c r="B17" t="s">
        <v>573</v>
      </c>
    </row>
    <row r="18" spans="1:2" x14ac:dyDescent="0.2">
      <c r="A18" t="s">
        <v>22</v>
      </c>
      <c r="B18" t="s">
        <v>574</v>
      </c>
    </row>
    <row r="19" spans="1:2" x14ac:dyDescent="0.2">
      <c r="A19" t="s">
        <v>23</v>
      </c>
      <c r="B19" t="s">
        <v>575</v>
      </c>
    </row>
    <row r="20" spans="1:2" x14ac:dyDescent="0.2">
      <c r="A20" t="s">
        <v>24</v>
      </c>
      <c r="B20" t="s">
        <v>576</v>
      </c>
    </row>
    <row r="21" spans="1:2" x14ac:dyDescent="0.2">
      <c r="A21" t="s">
        <v>25</v>
      </c>
      <c r="B21" t="s">
        <v>577</v>
      </c>
    </row>
    <row r="22" spans="1:2" x14ac:dyDescent="0.2">
      <c r="A22" t="s">
        <v>26</v>
      </c>
      <c r="B22" t="s">
        <v>578</v>
      </c>
    </row>
    <row r="23" spans="1:2" x14ac:dyDescent="0.2">
      <c r="A23" t="s">
        <v>27</v>
      </c>
      <c r="B23" t="s">
        <v>579</v>
      </c>
    </row>
    <row r="24" spans="1:2" x14ac:dyDescent="0.2">
      <c r="A24" t="s">
        <v>29</v>
      </c>
      <c r="B24" t="s">
        <v>580</v>
      </c>
    </row>
    <row r="25" spans="1:2" x14ac:dyDescent="0.2">
      <c r="A25" t="s">
        <v>31</v>
      </c>
      <c r="B25" t="s">
        <v>581</v>
      </c>
    </row>
    <row r="26" spans="1:2" x14ac:dyDescent="0.2">
      <c r="A26" t="s">
        <v>33</v>
      </c>
      <c r="B26" t="s">
        <v>582</v>
      </c>
    </row>
    <row r="27" spans="1:2" x14ac:dyDescent="0.2">
      <c r="A27" t="s">
        <v>34</v>
      </c>
      <c r="B27" t="s">
        <v>583</v>
      </c>
    </row>
    <row r="28" spans="1:2" x14ac:dyDescent="0.2">
      <c r="A28" t="s">
        <v>36</v>
      </c>
      <c r="B28" t="s">
        <v>584</v>
      </c>
    </row>
    <row r="29" spans="1:2" x14ac:dyDescent="0.2">
      <c r="A29" t="s">
        <v>37</v>
      </c>
      <c r="B29" t="s">
        <v>585</v>
      </c>
    </row>
    <row r="30" spans="1:2" x14ac:dyDescent="0.2">
      <c r="A30" t="s">
        <v>39</v>
      </c>
      <c r="B30" t="s">
        <v>586</v>
      </c>
    </row>
    <row r="31" spans="1:2" x14ac:dyDescent="0.2">
      <c r="A31" t="s">
        <v>41</v>
      </c>
      <c r="B31" t="s">
        <v>587</v>
      </c>
    </row>
    <row r="32" spans="1:2" x14ac:dyDescent="0.2">
      <c r="A32" t="s">
        <v>43</v>
      </c>
      <c r="B32" t="s">
        <v>588</v>
      </c>
    </row>
    <row r="33" spans="1:34" x14ac:dyDescent="0.2">
      <c r="A33" t="s">
        <v>44</v>
      </c>
      <c r="B33" t="s">
        <v>589</v>
      </c>
    </row>
    <row r="34" spans="1:34" x14ac:dyDescent="0.2">
      <c r="A34" t="s">
        <v>46</v>
      </c>
      <c r="B34" t="s">
        <v>590</v>
      </c>
    </row>
    <row r="35" spans="1:34" x14ac:dyDescent="0.2">
      <c r="A35" t="s">
        <v>47</v>
      </c>
      <c r="B35" t="s">
        <v>591</v>
      </c>
    </row>
    <row r="36" spans="1:34" x14ac:dyDescent="0.2">
      <c r="A36" t="s">
        <v>75</v>
      </c>
      <c r="B36" t="s">
        <v>193</v>
      </c>
    </row>
    <row r="37" spans="1:34" x14ac:dyDescent="0.2">
      <c r="A37" t="s">
        <v>77</v>
      </c>
      <c r="B37" t="s">
        <v>78</v>
      </c>
    </row>
    <row r="38" spans="1:34" x14ac:dyDescent="0.2">
      <c r="A38" t="s">
        <v>79</v>
      </c>
      <c r="B38" t="s">
        <v>80</v>
      </c>
    </row>
    <row r="39" spans="1:34" x14ac:dyDescent="0.2">
      <c r="A39" t="s">
        <v>81</v>
      </c>
      <c r="B39" t="s">
        <v>82</v>
      </c>
    </row>
    <row r="40" spans="1:34" x14ac:dyDescent="0.2">
      <c r="A40" t="s">
        <v>83</v>
      </c>
      <c r="B40" t="s">
        <v>84</v>
      </c>
    </row>
    <row r="41" spans="1:34" x14ac:dyDescent="0.2">
      <c r="A41" t="s">
        <v>85</v>
      </c>
      <c r="B41" t="s">
        <v>84</v>
      </c>
    </row>
    <row r="42" spans="1:34" x14ac:dyDescent="0.2">
      <c r="A42" t="s">
        <v>86</v>
      </c>
      <c r="B42" t="s">
        <v>87</v>
      </c>
    </row>
    <row r="43" spans="1:34" x14ac:dyDescent="0.2">
      <c r="A43" t="s">
        <v>88</v>
      </c>
      <c r="B43" t="s">
        <v>89</v>
      </c>
    </row>
    <row r="45" spans="1:34" x14ac:dyDescent="0.2">
      <c r="A45" t="s">
        <v>87</v>
      </c>
      <c r="B45" t="s">
        <v>90</v>
      </c>
      <c r="C45" t="s">
        <v>513</v>
      </c>
      <c r="D45" t="s">
        <v>521</v>
      </c>
      <c r="E45" t="s">
        <v>522</v>
      </c>
      <c r="F45" t="s">
        <v>521</v>
      </c>
      <c r="G45" t="s">
        <v>525</v>
      </c>
      <c r="H45" t="s">
        <v>592</v>
      </c>
      <c r="I45" t="s">
        <v>519</v>
      </c>
      <c r="J45" t="s">
        <v>527</v>
      </c>
      <c r="K45" t="s">
        <v>528</v>
      </c>
      <c r="L45" t="s">
        <v>529</v>
      </c>
      <c r="M45" t="s">
        <v>533</v>
      </c>
      <c r="N45" t="s">
        <v>532</v>
      </c>
      <c r="O45" t="s">
        <v>593</v>
      </c>
      <c r="P45" t="s">
        <v>536</v>
      </c>
      <c r="Q45" t="s">
        <v>594</v>
      </c>
      <c r="R45" t="s">
        <v>539</v>
      </c>
      <c r="S45" t="s">
        <v>540</v>
      </c>
      <c r="T45" t="s">
        <v>543</v>
      </c>
      <c r="U45" t="s">
        <v>544</v>
      </c>
      <c r="V45" t="s">
        <v>546</v>
      </c>
      <c r="W45" t="s">
        <v>548</v>
      </c>
      <c r="X45" t="s">
        <v>595</v>
      </c>
      <c r="Y45" t="s">
        <v>551</v>
      </c>
      <c r="Z45" t="s">
        <v>552</v>
      </c>
      <c r="AA45" t="s">
        <v>554</v>
      </c>
      <c r="AB45" t="s">
        <v>555</v>
      </c>
      <c r="AC45" t="s">
        <v>557</v>
      </c>
      <c r="AD45" t="s">
        <v>596</v>
      </c>
      <c r="AE45" t="s">
        <v>510</v>
      </c>
      <c r="AF45" t="s">
        <v>597</v>
      </c>
      <c r="AG45" t="s">
        <v>598</v>
      </c>
      <c r="AH45" t="s">
        <v>599</v>
      </c>
    </row>
    <row r="46" spans="1:34" x14ac:dyDescent="0.2">
      <c r="A46" t="s">
        <v>137</v>
      </c>
      <c r="B46" t="s">
        <v>194</v>
      </c>
      <c r="C46">
        <v>430.74873000000002</v>
      </c>
      <c r="D46">
        <v>3850.7963</v>
      </c>
      <c r="E46">
        <v>3875.2817</v>
      </c>
      <c r="F46">
        <v>3850.7963</v>
      </c>
      <c r="G46">
        <v>696174.99</v>
      </c>
      <c r="H46">
        <v>31603.978999999999</v>
      </c>
      <c r="I46">
        <v>11679.517</v>
      </c>
      <c r="J46">
        <v>234440.41</v>
      </c>
      <c r="K46">
        <v>43213.368999999999</v>
      </c>
      <c r="L46">
        <v>43291.593999999997</v>
      </c>
      <c r="M46" s="1">
        <v>163723170</v>
      </c>
      <c r="N46" s="1">
        <v>209517660</v>
      </c>
      <c r="O46">
        <v>42945.834999999999</v>
      </c>
      <c r="P46">
        <v>57222.074000000001</v>
      </c>
      <c r="Q46">
        <v>335394.40000000002</v>
      </c>
      <c r="R46" s="1">
        <v>575378600</v>
      </c>
      <c r="S46" s="1">
        <v>552315970</v>
      </c>
      <c r="T46">
        <v>1.3105206999999999E-3</v>
      </c>
      <c r="U46">
        <v>6.8286599999999996E-4</v>
      </c>
      <c r="V46">
        <v>4222.9314000000004</v>
      </c>
      <c r="W46">
        <v>959736.36</v>
      </c>
      <c r="X46">
        <v>11436.855</v>
      </c>
      <c r="Y46">
        <v>877535.61</v>
      </c>
      <c r="Z46">
        <v>748545.26</v>
      </c>
      <c r="AA46">
        <v>229124.32</v>
      </c>
      <c r="AB46">
        <v>222618.66</v>
      </c>
      <c r="AC46" s="1">
        <v>145262200</v>
      </c>
      <c r="AD46">
        <v>12056986</v>
      </c>
      <c r="AE46" s="1">
        <v>132830470</v>
      </c>
      <c r="AF46">
        <v>295.68142</v>
      </c>
      <c r="AG46">
        <v>343.52012999999999</v>
      </c>
      <c r="AH46">
        <v>186.25764000000001</v>
      </c>
    </row>
    <row r="47" spans="1:34" x14ac:dyDescent="0.2">
      <c r="A47" t="s">
        <v>195</v>
      </c>
      <c r="B47" t="s">
        <v>194</v>
      </c>
      <c r="C47">
        <v>3.3440804999999998E-4</v>
      </c>
      <c r="D47">
        <v>3.7624775E-4</v>
      </c>
      <c r="E47">
        <v>3.2581911000000002E-3</v>
      </c>
      <c r="F47">
        <v>3.7624775E-4</v>
      </c>
      <c r="G47">
        <v>9.8263844000000003E-2</v>
      </c>
      <c r="H47">
        <v>1.8542731999999999E-2</v>
      </c>
      <c r="I47">
        <v>5.5389354000000002E-3</v>
      </c>
      <c r="J47">
        <v>0.35332489</v>
      </c>
      <c r="K47">
        <v>0.17650101000000001</v>
      </c>
      <c r="L47">
        <v>4.0083280999999998E-2</v>
      </c>
      <c r="M47">
        <v>39.602913999999998</v>
      </c>
      <c r="N47">
        <v>49.379717999999997</v>
      </c>
      <c r="O47">
        <v>1.3892061000000001E-2</v>
      </c>
      <c r="P47">
        <v>0.23550557999999999</v>
      </c>
      <c r="Q47">
        <v>0.10248847</v>
      </c>
      <c r="R47">
        <v>770.36635999999999</v>
      </c>
      <c r="S47">
        <v>761.85055999999997</v>
      </c>
      <c r="T47" s="1">
        <v>8.1825452999999996E-10</v>
      </c>
      <c r="U47" s="1">
        <v>2.8314078E-9</v>
      </c>
      <c r="V47">
        <v>1.3764162</v>
      </c>
      <c r="W47">
        <v>191.50799000000001</v>
      </c>
      <c r="X47">
        <v>3.7402800999999999E-2</v>
      </c>
      <c r="Y47">
        <v>0.25370832999999998</v>
      </c>
      <c r="Z47">
        <v>0.22131567999999999</v>
      </c>
      <c r="AA47">
        <v>7.1727109999999997E-2</v>
      </c>
      <c r="AB47">
        <v>6.6669859999999997E-2</v>
      </c>
      <c r="AC47">
        <v>48.412433999999998</v>
      </c>
      <c r="AD47">
        <v>3.3513891</v>
      </c>
      <c r="AE47">
        <v>200.15006</v>
      </c>
      <c r="AF47">
        <v>1.4062421E-4</v>
      </c>
      <c r="AG47">
        <v>1.3370499000000001E-4</v>
      </c>
      <c r="AH47" s="1">
        <v>7.1859347999999996E-5</v>
      </c>
    </row>
    <row r="48" spans="1:34" x14ac:dyDescent="0.2">
      <c r="A48" t="s">
        <v>196</v>
      </c>
      <c r="B48" t="s">
        <v>194</v>
      </c>
      <c r="C48">
        <v>429.76805000000002</v>
      </c>
      <c r="D48">
        <v>3849.4542999999999</v>
      </c>
      <c r="E48">
        <v>3872.3258000000001</v>
      </c>
      <c r="F48">
        <v>3849.4542999999999</v>
      </c>
      <c r="G48">
        <v>695807.39</v>
      </c>
      <c r="H48">
        <v>31515.742999999999</v>
      </c>
      <c r="I48">
        <v>11655.857</v>
      </c>
      <c r="J48">
        <v>234008.01</v>
      </c>
      <c r="K48">
        <v>43126.483</v>
      </c>
      <c r="L48">
        <v>43199.55</v>
      </c>
      <c r="M48" s="1">
        <v>163528990</v>
      </c>
      <c r="N48" s="1">
        <v>209274450</v>
      </c>
      <c r="O48">
        <v>42876.29</v>
      </c>
      <c r="P48">
        <v>57187.587</v>
      </c>
      <c r="Q48">
        <v>334981.12</v>
      </c>
      <c r="R48" s="1">
        <v>569322370</v>
      </c>
      <c r="S48" s="1">
        <v>546394640</v>
      </c>
      <c r="T48">
        <v>1.2965506E-3</v>
      </c>
      <c r="U48">
        <v>6.7306937999999999E-4</v>
      </c>
      <c r="V48">
        <v>4202.1552000000001</v>
      </c>
      <c r="W48">
        <v>956292.53</v>
      </c>
      <c r="X48">
        <v>11412.703</v>
      </c>
      <c r="Y48">
        <v>875675.76</v>
      </c>
      <c r="Z48">
        <v>747427.5</v>
      </c>
      <c r="AA48">
        <v>228630</v>
      </c>
      <c r="AB48">
        <v>222255.62</v>
      </c>
      <c r="AC48" s="1">
        <v>145047860</v>
      </c>
      <c r="AD48">
        <v>12041098</v>
      </c>
      <c r="AE48" s="1">
        <v>132074500</v>
      </c>
      <c r="AF48">
        <v>295.17104</v>
      </c>
      <c r="AG48">
        <v>342.98656</v>
      </c>
      <c r="AH48">
        <v>185.93671000000001</v>
      </c>
    </row>
    <row r="49" spans="1:34" x14ac:dyDescent="0.2">
      <c r="A49" t="s">
        <v>197</v>
      </c>
      <c r="B49" t="s">
        <v>194</v>
      </c>
      <c r="C49">
        <v>0.69824142</v>
      </c>
      <c r="D49">
        <v>1.0599597999999999</v>
      </c>
      <c r="E49">
        <v>1.5570881000000001</v>
      </c>
      <c r="F49">
        <v>1.0599597999999999</v>
      </c>
      <c r="G49">
        <v>261.98014999999998</v>
      </c>
      <c r="H49">
        <v>74.898386000000002</v>
      </c>
      <c r="I49">
        <v>19.064339</v>
      </c>
      <c r="J49">
        <v>349.86473000000001</v>
      </c>
      <c r="K49">
        <v>67.856859999999998</v>
      </c>
      <c r="L49">
        <v>64.944947999999997</v>
      </c>
      <c r="M49">
        <v>142781.35</v>
      </c>
      <c r="N49">
        <v>178551.57</v>
      </c>
      <c r="O49">
        <v>46.305898999999997</v>
      </c>
      <c r="P49">
        <v>27.151993999999998</v>
      </c>
      <c r="Q49">
        <v>237.94257999999999</v>
      </c>
      <c r="R49">
        <v>5790884.0999999996</v>
      </c>
      <c r="S49">
        <v>5673971.2000000002</v>
      </c>
      <c r="T49" s="1">
        <v>1.1490477E-5</v>
      </c>
      <c r="U49" s="1">
        <v>8.1588049999999992E-6</v>
      </c>
      <c r="V49">
        <v>15.455677</v>
      </c>
      <c r="W49">
        <v>2529.4787000000001</v>
      </c>
      <c r="X49">
        <v>15.968068000000001</v>
      </c>
      <c r="Y49">
        <v>1545.5891999999999</v>
      </c>
      <c r="Z49">
        <v>814.31397000000004</v>
      </c>
      <c r="AA49">
        <v>417.35631999999998</v>
      </c>
      <c r="AB49">
        <v>269.84694000000002</v>
      </c>
      <c r="AC49">
        <v>154724.34</v>
      </c>
      <c r="AD49">
        <v>11654.289000000001</v>
      </c>
      <c r="AE49">
        <v>569069.4</v>
      </c>
      <c r="AF49">
        <v>0.30779341999999998</v>
      </c>
      <c r="AG49">
        <v>0.32750916000000002</v>
      </c>
      <c r="AH49">
        <v>0.19375701000000001</v>
      </c>
    </row>
    <row r="50" spans="1:34" x14ac:dyDescent="0.2">
      <c r="A50" t="s">
        <v>198</v>
      </c>
      <c r="B50" t="s">
        <v>194</v>
      </c>
      <c r="C50">
        <v>0.28210322999999998</v>
      </c>
      <c r="D50">
        <v>0.28166535999999998</v>
      </c>
      <c r="E50">
        <v>1.3954983999999999</v>
      </c>
      <c r="F50">
        <v>0.28166535999999998</v>
      </c>
      <c r="G50">
        <v>105.52528</v>
      </c>
      <c r="H50">
        <v>13.318664</v>
      </c>
      <c r="I50">
        <v>4.5904442999999997</v>
      </c>
      <c r="J50">
        <v>82.182711999999995</v>
      </c>
      <c r="K50">
        <v>18.852025999999999</v>
      </c>
      <c r="L50">
        <v>27.058762999999999</v>
      </c>
      <c r="M50">
        <v>51349.938999999998</v>
      </c>
      <c r="N50">
        <v>64603.512000000002</v>
      </c>
      <c r="O50">
        <v>23.22589</v>
      </c>
      <c r="P50">
        <v>7.0994488999999996</v>
      </c>
      <c r="Q50">
        <v>175.23561000000001</v>
      </c>
      <c r="R50">
        <v>264567.78999999998</v>
      </c>
      <c r="S50">
        <v>246591.71</v>
      </c>
      <c r="T50" s="1">
        <v>2.4788367E-6</v>
      </c>
      <c r="U50" s="1">
        <v>1.6349790000000001E-6</v>
      </c>
      <c r="V50">
        <v>3.944191</v>
      </c>
      <c r="W50">
        <v>722.84275000000002</v>
      </c>
      <c r="X50">
        <v>8.1462302999999991</v>
      </c>
      <c r="Y50">
        <v>314.01310000000001</v>
      </c>
      <c r="Z50">
        <v>303.22145999999998</v>
      </c>
      <c r="AA50">
        <v>76.899242000000001</v>
      </c>
      <c r="AB50">
        <v>93.129704000000004</v>
      </c>
      <c r="AC50">
        <v>59568.932000000001</v>
      </c>
      <c r="AD50">
        <v>4230.5762000000004</v>
      </c>
      <c r="AE50">
        <v>186698.5</v>
      </c>
      <c r="AF50">
        <v>0.20244166999999999</v>
      </c>
      <c r="AG50">
        <v>0.20593085999999999</v>
      </c>
      <c r="AH50">
        <v>0.12710234000000001</v>
      </c>
    </row>
    <row r="51" spans="1:34" x14ac:dyDescent="0.2">
      <c r="A51" t="s">
        <v>199</v>
      </c>
      <c r="B51" t="s">
        <v>194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row>
    <row r="52" spans="1:34" x14ac:dyDescent="0.2">
      <c r="A52" t="s">
        <v>200</v>
      </c>
      <c r="B52" t="s">
        <v>194</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row>
    <row r="53" spans="1:34" x14ac:dyDescent="0.2">
      <c r="A53" t="s">
        <v>201</v>
      </c>
      <c r="B53" t="s">
        <v>194</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row>
    <row r="54" spans="1:34" x14ac:dyDescent="0.2">
      <c r="A54" t="s">
        <v>202</v>
      </c>
      <c r="B54" t="s">
        <v>194</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row>
    <row r="55" spans="1:34" x14ac:dyDescent="0.2">
      <c r="A55" t="s">
        <v>203</v>
      </c>
      <c r="B55" t="s">
        <v>194</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3EBAB-AF9B-444E-9EE8-05164C8407CA}">
  <dimension ref="A2:AH55"/>
  <sheetViews>
    <sheetView topLeftCell="A22" workbookViewId="0">
      <selection activeCell="V34" sqref="V34"/>
    </sheetView>
  </sheetViews>
  <sheetFormatPr baseColWidth="10" defaultColWidth="8.83203125" defaultRowHeight="15" x14ac:dyDescent="0.2"/>
  <cols>
    <col min="1" max="1" width="26.6640625" customWidth="1"/>
  </cols>
  <sheetData>
    <row r="2" spans="1:2" x14ac:dyDescent="0.2">
      <c r="A2" t="s">
        <v>0</v>
      </c>
      <c r="B2" t="s">
        <v>1</v>
      </c>
    </row>
    <row r="3" spans="1:2" x14ac:dyDescent="0.2">
      <c r="A3" t="s">
        <v>2</v>
      </c>
      <c r="B3" t="s">
        <v>3</v>
      </c>
    </row>
    <row r="4" spans="1:2" x14ac:dyDescent="0.2">
      <c r="A4" t="s">
        <v>4</v>
      </c>
      <c r="B4" t="s">
        <v>561</v>
      </c>
    </row>
    <row r="5" spans="1:2" x14ac:dyDescent="0.2">
      <c r="A5" t="s">
        <v>5</v>
      </c>
      <c r="B5" t="s">
        <v>562</v>
      </c>
    </row>
    <row r="6" spans="1:2" x14ac:dyDescent="0.2">
      <c r="A6" t="s">
        <v>6</v>
      </c>
      <c r="B6" t="s">
        <v>563</v>
      </c>
    </row>
    <row r="7" spans="1:2" x14ac:dyDescent="0.2">
      <c r="A7" t="s">
        <v>7</v>
      </c>
      <c r="B7" t="s">
        <v>562</v>
      </c>
    </row>
    <row r="8" spans="1:2" x14ac:dyDescent="0.2">
      <c r="A8" t="s">
        <v>8</v>
      </c>
      <c r="B8" t="s">
        <v>564</v>
      </c>
    </row>
    <row r="9" spans="1:2" x14ac:dyDescent="0.2">
      <c r="A9" t="s">
        <v>10</v>
      </c>
      <c r="B9" t="s">
        <v>565</v>
      </c>
    </row>
    <row r="10" spans="1:2" x14ac:dyDescent="0.2">
      <c r="A10" t="s">
        <v>11</v>
      </c>
      <c r="B10" t="s">
        <v>566</v>
      </c>
    </row>
    <row r="11" spans="1:2" x14ac:dyDescent="0.2">
      <c r="A11" t="s">
        <v>13</v>
      </c>
      <c r="B11" t="s">
        <v>567</v>
      </c>
    </row>
    <row r="12" spans="1:2" x14ac:dyDescent="0.2">
      <c r="A12" t="s">
        <v>15</v>
      </c>
      <c r="B12" t="s">
        <v>568</v>
      </c>
    </row>
    <row r="13" spans="1:2" x14ac:dyDescent="0.2">
      <c r="A13" t="s">
        <v>17</v>
      </c>
      <c r="B13" t="s">
        <v>569</v>
      </c>
    </row>
    <row r="14" spans="1:2" x14ac:dyDescent="0.2">
      <c r="A14" t="s">
        <v>18</v>
      </c>
      <c r="B14" t="s">
        <v>570</v>
      </c>
    </row>
    <row r="15" spans="1:2" x14ac:dyDescent="0.2">
      <c r="A15" t="s">
        <v>19</v>
      </c>
      <c r="B15" t="s">
        <v>571</v>
      </c>
    </row>
    <row r="16" spans="1:2" x14ac:dyDescent="0.2">
      <c r="A16" t="s">
        <v>20</v>
      </c>
      <c r="B16" t="s">
        <v>572</v>
      </c>
    </row>
    <row r="17" spans="1:2" x14ac:dyDescent="0.2">
      <c r="A17" t="s">
        <v>21</v>
      </c>
      <c r="B17" t="s">
        <v>573</v>
      </c>
    </row>
    <row r="18" spans="1:2" x14ac:dyDescent="0.2">
      <c r="A18" t="s">
        <v>22</v>
      </c>
      <c r="B18" t="s">
        <v>574</v>
      </c>
    </row>
    <row r="19" spans="1:2" x14ac:dyDescent="0.2">
      <c r="A19" t="s">
        <v>23</v>
      </c>
      <c r="B19" t="s">
        <v>575</v>
      </c>
    </row>
    <row r="20" spans="1:2" x14ac:dyDescent="0.2">
      <c r="A20" t="s">
        <v>24</v>
      </c>
      <c r="B20" t="s">
        <v>576</v>
      </c>
    </row>
    <row r="21" spans="1:2" x14ac:dyDescent="0.2">
      <c r="A21" t="s">
        <v>25</v>
      </c>
      <c r="B21" t="s">
        <v>577</v>
      </c>
    </row>
    <row r="22" spans="1:2" x14ac:dyDescent="0.2">
      <c r="A22" t="s">
        <v>26</v>
      </c>
      <c r="B22" t="s">
        <v>578</v>
      </c>
    </row>
    <row r="23" spans="1:2" x14ac:dyDescent="0.2">
      <c r="A23" t="s">
        <v>27</v>
      </c>
      <c r="B23" t="s">
        <v>579</v>
      </c>
    </row>
    <row r="24" spans="1:2" x14ac:dyDescent="0.2">
      <c r="A24" t="s">
        <v>29</v>
      </c>
      <c r="B24" t="s">
        <v>580</v>
      </c>
    </row>
    <row r="25" spans="1:2" x14ac:dyDescent="0.2">
      <c r="A25" t="s">
        <v>31</v>
      </c>
      <c r="B25" t="s">
        <v>581</v>
      </c>
    </row>
    <row r="26" spans="1:2" x14ac:dyDescent="0.2">
      <c r="A26" t="s">
        <v>33</v>
      </c>
      <c r="B26" t="s">
        <v>582</v>
      </c>
    </row>
    <row r="27" spans="1:2" x14ac:dyDescent="0.2">
      <c r="A27" t="s">
        <v>34</v>
      </c>
      <c r="B27" t="s">
        <v>583</v>
      </c>
    </row>
    <row r="28" spans="1:2" x14ac:dyDescent="0.2">
      <c r="A28" t="s">
        <v>36</v>
      </c>
      <c r="B28" t="s">
        <v>584</v>
      </c>
    </row>
    <row r="29" spans="1:2" x14ac:dyDescent="0.2">
      <c r="A29" t="s">
        <v>37</v>
      </c>
      <c r="B29" t="s">
        <v>585</v>
      </c>
    </row>
    <row r="30" spans="1:2" x14ac:dyDescent="0.2">
      <c r="A30" t="s">
        <v>39</v>
      </c>
      <c r="B30" t="s">
        <v>586</v>
      </c>
    </row>
    <row r="31" spans="1:2" x14ac:dyDescent="0.2">
      <c r="A31" t="s">
        <v>41</v>
      </c>
      <c r="B31" t="s">
        <v>587</v>
      </c>
    </row>
    <row r="32" spans="1:2" x14ac:dyDescent="0.2">
      <c r="A32" t="s">
        <v>43</v>
      </c>
      <c r="B32" t="s">
        <v>588</v>
      </c>
    </row>
    <row r="33" spans="1:34" x14ac:dyDescent="0.2">
      <c r="A33" t="s">
        <v>44</v>
      </c>
      <c r="B33" t="s">
        <v>589</v>
      </c>
    </row>
    <row r="34" spans="1:34" x14ac:dyDescent="0.2">
      <c r="A34" t="s">
        <v>46</v>
      </c>
      <c r="B34" t="s">
        <v>590</v>
      </c>
    </row>
    <row r="35" spans="1:34" x14ac:dyDescent="0.2">
      <c r="A35" t="s">
        <v>47</v>
      </c>
      <c r="B35" t="s">
        <v>591</v>
      </c>
    </row>
    <row r="36" spans="1:34" x14ac:dyDescent="0.2">
      <c r="A36" t="s">
        <v>75</v>
      </c>
      <c r="B36" t="s">
        <v>204</v>
      </c>
    </row>
    <row r="37" spans="1:34" x14ac:dyDescent="0.2">
      <c r="A37" t="s">
        <v>77</v>
      </c>
      <c r="B37" t="s">
        <v>78</v>
      </c>
    </row>
    <row r="38" spans="1:34" x14ac:dyDescent="0.2">
      <c r="A38" t="s">
        <v>79</v>
      </c>
      <c r="B38" t="s">
        <v>80</v>
      </c>
    </row>
    <row r="39" spans="1:34" x14ac:dyDescent="0.2">
      <c r="A39" t="s">
        <v>81</v>
      </c>
      <c r="B39" t="s">
        <v>82</v>
      </c>
    </row>
    <row r="40" spans="1:34" x14ac:dyDescent="0.2">
      <c r="A40" t="s">
        <v>83</v>
      </c>
      <c r="B40" t="s">
        <v>84</v>
      </c>
    </row>
    <row r="41" spans="1:34" x14ac:dyDescent="0.2">
      <c r="A41" t="s">
        <v>85</v>
      </c>
      <c r="B41" t="s">
        <v>84</v>
      </c>
    </row>
    <row r="42" spans="1:34" x14ac:dyDescent="0.2">
      <c r="A42" t="s">
        <v>86</v>
      </c>
      <c r="B42" t="s">
        <v>87</v>
      </c>
    </row>
    <row r="43" spans="1:34" x14ac:dyDescent="0.2">
      <c r="A43" t="s">
        <v>88</v>
      </c>
      <c r="B43" t="s">
        <v>89</v>
      </c>
    </row>
    <row r="45" spans="1:34" x14ac:dyDescent="0.2">
      <c r="A45" t="s">
        <v>87</v>
      </c>
      <c r="B45" t="s">
        <v>90</v>
      </c>
      <c r="C45" t="s">
        <v>513</v>
      </c>
      <c r="D45" t="s">
        <v>521</v>
      </c>
      <c r="E45" t="s">
        <v>522</v>
      </c>
      <c r="F45" t="s">
        <v>521</v>
      </c>
      <c r="G45" t="s">
        <v>525</v>
      </c>
      <c r="H45" t="s">
        <v>592</v>
      </c>
      <c r="I45" t="s">
        <v>519</v>
      </c>
      <c r="J45" t="s">
        <v>527</v>
      </c>
      <c r="K45" t="s">
        <v>528</v>
      </c>
      <c r="L45" t="s">
        <v>529</v>
      </c>
      <c r="M45" t="s">
        <v>533</v>
      </c>
      <c r="N45" t="s">
        <v>532</v>
      </c>
      <c r="O45" t="s">
        <v>593</v>
      </c>
      <c r="P45" t="s">
        <v>536</v>
      </c>
      <c r="Q45" t="s">
        <v>594</v>
      </c>
      <c r="R45" t="s">
        <v>539</v>
      </c>
      <c r="S45" t="s">
        <v>540</v>
      </c>
      <c r="T45" t="s">
        <v>543</v>
      </c>
      <c r="U45" t="s">
        <v>544</v>
      </c>
      <c r="V45" t="s">
        <v>546</v>
      </c>
      <c r="W45" t="s">
        <v>548</v>
      </c>
      <c r="X45" t="s">
        <v>595</v>
      </c>
      <c r="Y45" t="s">
        <v>551</v>
      </c>
      <c r="Z45" t="s">
        <v>552</v>
      </c>
      <c r="AA45" t="s">
        <v>554</v>
      </c>
      <c r="AB45" t="s">
        <v>555</v>
      </c>
      <c r="AC45" t="s">
        <v>557</v>
      </c>
      <c r="AD45" t="s">
        <v>596</v>
      </c>
      <c r="AE45" t="s">
        <v>510</v>
      </c>
      <c r="AF45" t="s">
        <v>597</v>
      </c>
      <c r="AG45" t="s">
        <v>598</v>
      </c>
      <c r="AH45" t="s">
        <v>599</v>
      </c>
    </row>
    <row r="46" spans="1:34" x14ac:dyDescent="0.2">
      <c r="A46" t="s">
        <v>137</v>
      </c>
      <c r="B46" t="s">
        <v>194</v>
      </c>
      <c r="C46">
        <v>370.90156999999999</v>
      </c>
      <c r="D46">
        <v>1766.047</v>
      </c>
      <c r="E46">
        <v>3174.8316</v>
      </c>
      <c r="F46">
        <v>1766.047</v>
      </c>
      <c r="G46">
        <v>361559</v>
      </c>
      <c r="H46">
        <v>28096.102999999999</v>
      </c>
      <c r="I46">
        <v>9994.3086999999996</v>
      </c>
      <c r="J46">
        <v>202992.31</v>
      </c>
      <c r="K46">
        <v>37286.762000000002</v>
      </c>
      <c r="L46">
        <v>37393.633000000002</v>
      </c>
      <c r="M46" s="1">
        <v>142274400</v>
      </c>
      <c r="N46" s="1">
        <v>182064380</v>
      </c>
      <c r="O46">
        <v>37343.83</v>
      </c>
      <c r="P46">
        <v>49032.726000000002</v>
      </c>
      <c r="Q46">
        <v>303401.62</v>
      </c>
      <c r="R46" s="1">
        <v>510063420</v>
      </c>
      <c r="S46" s="1">
        <v>490061190</v>
      </c>
      <c r="T46">
        <v>1.1867078E-3</v>
      </c>
      <c r="U46">
        <v>5.9544391000000002E-4</v>
      </c>
      <c r="V46">
        <v>3502.0228999999999</v>
      </c>
      <c r="W46">
        <v>795393.37</v>
      </c>
      <c r="X46">
        <v>9749.6258999999991</v>
      </c>
      <c r="Y46">
        <v>746195.99</v>
      </c>
      <c r="Z46">
        <v>663897.1</v>
      </c>
      <c r="AA46">
        <v>195145.11</v>
      </c>
      <c r="AB46">
        <v>194109.67</v>
      </c>
      <c r="AC46" s="1">
        <v>131277960</v>
      </c>
      <c r="AD46">
        <v>10725949</v>
      </c>
      <c r="AE46" s="1">
        <v>117007120</v>
      </c>
      <c r="AF46">
        <v>254.69484</v>
      </c>
      <c r="AG46">
        <v>297.54297000000003</v>
      </c>
      <c r="AH46">
        <v>164.78234</v>
      </c>
    </row>
    <row r="47" spans="1:34" x14ac:dyDescent="0.2">
      <c r="A47" t="s">
        <v>195</v>
      </c>
      <c r="B47" t="s">
        <v>194</v>
      </c>
      <c r="C47" s="1">
        <v>7.8329814000000002E-5</v>
      </c>
      <c r="D47" s="1">
        <v>8.8130104000000003E-5</v>
      </c>
      <c r="E47">
        <v>7.6317989000000003E-4</v>
      </c>
      <c r="F47" s="1">
        <v>8.8130104000000003E-5</v>
      </c>
      <c r="G47">
        <v>2.3016755999999999E-2</v>
      </c>
      <c r="H47">
        <v>4.3433424999999998E-3</v>
      </c>
      <c r="I47">
        <v>1.2974083E-3</v>
      </c>
      <c r="J47">
        <v>8.2760785000000003E-2</v>
      </c>
      <c r="K47">
        <v>4.1342578999999997E-2</v>
      </c>
      <c r="L47">
        <v>9.3888766000000002E-3</v>
      </c>
      <c r="M47">
        <v>9.2763582000000007</v>
      </c>
      <c r="N47">
        <v>11.566420000000001</v>
      </c>
      <c r="O47">
        <v>3.2539963E-3</v>
      </c>
      <c r="P47">
        <v>5.5163469999999999E-2</v>
      </c>
      <c r="Q47">
        <v>2.4006308000000001E-2</v>
      </c>
      <c r="R47">
        <v>180.44617</v>
      </c>
      <c r="S47">
        <v>178.45148</v>
      </c>
      <c r="T47" s="1">
        <v>1.9166322000000001E-10</v>
      </c>
      <c r="U47" s="1">
        <v>6.6321264E-10</v>
      </c>
      <c r="V47">
        <v>0.32240380000000002</v>
      </c>
      <c r="W47">
        <v>44.857726999999997</v>
      </c>
      <c r="X47">
        <v>8.7610164999999997E-3</v>
      </c>
      <c r="Y47">
        <v>5.9427176999999998E-2</v>
      </c>
      <c r="Z47">
        <v>5.1839708999999998E-2</v>
      </c>
      <c r="AA47">
        <v>1.6800945000000001E-2</v>
      </c>
      <c r="AB47">
        <v>1.5616364000000001E-2</v>
      </c>
      <c r="AC47">
        <v>11.339848999999999</v>
      </c>
      <c r="AD47">
        <v>0.78501007</v>
      </c>
      <c r="AE47">
        <v>46.881995000000003</v>
      </c>
      <c r="AF47" s="1">
        <v>3.2939004999999998E-5</v>
      </c>
      <c r="AG47" s="1">
        <v>3.1318286000000003E-5</v>
      </c>
      <c r="AH47" s="1">
        <v>1.6831918999999999E-5</v>
      </c>
    </row>
    <row r="48" spans="1:34" x14ac:dyDescent="0.2">
      <c r="A48" t="s">
        <v>196</v>
      </c>
      <c r="B48" t="s">
        <v>194</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row>
    <row r="49" spans="1:34" x14ac:dyDescent="0.2">
      <c r="A49" t="s">
        <v>197</v>
      </c>
      <c r="B49" t="s">
        <v>194</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row>
    <row r="50" spans="1:34" x14ac:dyDescent="0.2">
      <c r="A50" t="s">
        <v>198</v>
      </c>
      <c r="B50" t="s">
        <v>194</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row>
    <row r="51" spans="1:34" x14ac:dyDescent="0.2">
      <c r="A51" t="s">
        <v>199</v>
      </c>
      <c r="B51" t="s">
        <v>194</v>
      </c>
      <c r="C51">
        <v>370.38612000000001</v>
      </c>
      <c r="D51">
        <v>1765.4111</v>
      </c>
      <c r="E51">
        <v>3172.9151000000002</v>
      </c>
      <c r="F51">
        <v>1765.4111</v>
      </c>
      <c r="G51">
        <v>361365.92</v>
      </c>
      <c r="H51">
        <v>28057.753000000001</v>
      </c>
      <c r="I51">
        <v>9983.3467999999993</v>
      </c>
      <c r="J51">
        <v>202793.14</v>
      </c>
      <c r="K51">
        <v>37245.196000000004</v>
      </c>
      <c r="L51">
        <v>37344.864000000001</v>
      </c>
      <c r="M51" s="1">
        <v>142175330</v>
      </c>
      <c r="N51" s="1">
        <v>181940110</v>
      </c>
      <c r="O51">
        <v>37305.129000000001</v>
      </c>
      <c r="P51">
        <v>49016.500999999997</v>
      </c>
      <c r="Q51">
        <v>303146.86</v>
      </c>
      <c r="R51" s="1">
        <v>507863740</v>
      </c>
      <c r="S51" s="1">
        <v>487918460</v>
      </c>
      <c r="T51">
        <v>1.1803902E-3</v>
      </c>
      <c r="U51">
        <v>5.9108301000000002E-4</v>
      </c>
      <c r="V51">
        <v>3492.5931</v>
      </c>
      <c r="W51">
        <v>793780.71</v>
      </c>
      <c r="X51">
        <v>9736.1393000000007</v>
      </c>
      <c r="Y51">
        <v>745365.83</v>
      </c>
      <c r="Z51">
        <v>663321.73</v>
      </c>
      <c r="AA51">
        <v>194928.83</v>
      </c>
      <c r="AB51">
        <v>193926.36</v>
      </c>
      <c r="AC51" s="1">
        <v>131166680</v>
      </c>
      <c r="AD51">
        <v>10717823</v>
      </c>
      <c r="AE51" s="1">
        <v>116631000</v>
      </c>
      <c r="AF51">
        <v>254.38953000000001</v>
      </c>
      <c r="AG51">
        <v>297.22759000000002</v>
      </c>
      <c r="AH51">
        <v>164.59048999999999</v>
      </c>
    </row>
    <row r="52" spans="1:34" x14ac:dyDescent="0.2">
      <c r="A52" t="s">
        <v>200</v>
      </c>
      <c r="B52" t="s">
        <v>194</v>
      </c>
      <c r="C52">
        <v>0.23332325000000001</v>
      </c>
      <c r="D52">
        <v>0.35419450000000002</v>
      </c>
      <c r="E52">
        <v>0.52031408999999995</v>
      </c>
      <c r="F52">
        <v>0.35419450000000002</v>
      </c>
      <c r="G52">
        <v>87.542871000000005</v>
      </c>
      <c r="H52">
        <v>25.027926000000001</v>
      </c>
      <c r="I52">
        <v>6.3705094000000004</v>
      </c>
      <c r="J52">
        <v>116.91024</v>
      </c>
      <c r="K52">
        <v>22.674941</v>
      </c>
      <c r="L52">
        <v>21.701900999999999</v>
      </c>
      <c r="M52">
        <v>47711.59</v>
      </c>
      <c r="N52">
        <v>59664.510999999999</v>
      </c>
      <c r="O52">
        <v>15.473506</v>
      </c>
      <c r="P52">
        <v>9.0730672000000006</v>
      </c>
      <c r="Q52">
        <v>79.510516999999993</v>
      </c>
      <c r="R52">
        <v>1935072.7</v>
      </c>
      <c r="S52">
        <v>1896005.2</v>
      </c>
      <c r="T52" s="1">
        <v>3.8396396000000001E-6</v>
      </c>
      <c r="U52" s="1">
        <v>2.7263334000000001E-6</v>
      </c>
      <c r="V52">
        <v>5.1646444999999996</v>
      </c>
      <c r="W52">
        <v>845.24658999999997</v>
      </c>
      <c r="X52">
        <v>5.3358641999999996</v>
      </c>
      <c r="Y52">
        <v>516.47163</v>
      </c>
      <c r="Z52">
        <v>272.10987</v>
      </c>
      <c r="AA52">
        <v>139.46313000000001</v>
      </c>
      <c r="AB52">
        <v>90.171626000000003</v>
      </c>
      <c r="AC52">
        <v>51702.442000000003</v>
      </c>
      <c r="AD52">
        <v>3894.3789000000002</v>
      </c>
      <c r="AE52">
        <v>190159.33</v>
      </c>
      <c r="AF52">
        <v>0.10285176</v>
      </c>
      <c r="AG52">
        <v>0.10943994</v>
      </c>
      <c r="AH52">
        <v>6.4745533999999993E-2</v>
      </c>
    </row>
    <row r="53" spans="1:34" x14ac:dyDescent="0.2">
      <c r="A53" t="s">
        <v>201</v>
      </c>
      <c r="B53" t="s">
        <v>194</v>
      </c>
      <c r="C53">
        <v>0.28204916000000002</v>
      </c>
      <c r="D53">
        <v>0.28164327</v>
      </c>
      <c r="E53">
        <v>1.3953994000000001</v>
      </c>
      <c r="F53">
        <v>0.28164327</v>
      </c>
      <c r="G53">
        <v>105.51597</v>
      </c>
      <c r="H53">
        <v>13.317327000000001</v>
      </c>
      <c r="I53">
        <v>4.5900727999999997</v>
      </c>
      <c r="J53">
        <v>82.173955000000007</v>
      </c>
      <c r="K53">
        <v>18.850335999999999</v>
      </c>
      <c r="L53">
        <v>27.057435999999999</v>
      </c>
      <c r="M53">
        <v>51345.22</v>
      </c>
      <c r="N53">
        <v>64597.468000000001</v>
      </c>
      <c r="O53">
        <v>23.224643</v>
      </c>
      <c r="P53">
        <v>7.0965091999999999</v>
      </c>
      <c r="Q53">
        <v>175.22523000000001</v>
      </c>
      <c r="R53">
        <v>264434.3</v>
      </c>
      <c r="S53">
        <v>246552.78</v>
      </c>
      <c r="T53" s="1">
        <v>2.4777487000000001E-6</v>
      </c>
      <c r="U53" s="1">
        <v>1.6338978E-6</v>
      </c>
      <c r="V53">
        <v>3.9426907</v>
      </c>
      <c r="W53">
        <v>722.56493</v>
      </c>
      <c r="X53">
        <v>8.1419868999999991</v>
      </c>
      <c r="Y53">
        <v>313.62196999999998</v>
      </c>
      <c r="Z53">
        <v>303.20058</v>
      </c>
      <c r="AA53">
        <v>76.804105000000007</v>
      </c>
      <c r="AB53">
        <v>93.123513000000003</v>
      </c>
      <c r="AC53">
        <v>59564.919000000002</v>
      </c>
      <c r="AD53">
        <v>4230.2493000000004</v>
      </c>
      <c r="AE53">
        <v>185917.89</v>
      </c>
      <c r="AF53">
        <v>0.20242972000000001</v>
      </c>
      <c r="AG53">
        <v>0.20591127000000001</v>
      </c>
      <c r="AH53">
        <v>0.12709135999999999</v>
      </c>
    </row>
    <row r="54" spans="1:34" x14ac:dyDescent="0.2">
      <c r="A54" t="s">
        <v>202</v>
      </c>
      <c r="B54" t="s">
        <v>194</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row>
    <row r="55" spans="1:34" x14ac:dyDescent="0.2">
      <c r="A55" t="s">
        <v>203</v>
      </c>
      <c r="B55" t="s">
        <v>194</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2C38-DE5A-42B3-9491-74422628997B}">
  <dimension ref="A1:AG46"/>
  <sheetViews>
    <sheetView topLeftCell="A5" zoomScale="70" zoomScaleNormal="70" workbookViewId="0">
      <pane xSplit="3" ySplit="2" topLeftCell="D7" activePane="bottomRight" state="frozen"/>
      <selection activeCell="A5" sqref="A5"/>
      <selection pane="topRight" activeCell="D5" sqref="D5"/>
      <selection pane="bottomLeft" activeCell="A7" sqref="A7"/>
      <selection pane="bottomRight" activeCell="P4" sqref="P4:AE4"/>
    </sheetView>
  </sheetViews>
  <sheetFormatPr baseColWidth="10" defaultColWidth="10.83203125" defaultRowHeight="15" x14ac:dyDescent="0.2"/>
  <cols>
    <col min="1" max="1" width="10.83203125" style="5"/>
    <col min="2" max="2" width="10.83203125" style="5" customWidth="1"/>
    <col min="3" max="3" width="30" style="5" customWidth="1"/>
    <col min="4" max="4" width="17.5" style="5" customWidth="1"/>
    <col min="5" max="5" width="58.6640625" style="5" customWidth="1"/>
    <col min="6" max="6" width="19.83203125" style="5" customWidth="1"/>
    <col min="7" max="7" width="18.1640625" style="5" customWidth="1"/>
    <col min="8" max="8" width="8.1640625" style="5" customWidth="1"/>
    <col min="9" max="9" width="39.5" style="5" customWidth="1"/>
    <col min="10" max="10" width="5.83203125" style="5" customWidth="1"/>
    <col min="11" max="23" width="10.83203125" style="5"/>
    <col min="24" max="24" width="11.83203125" style="5" bestFit="1" customWidth="1"/>
    <col min="25" max="16384" width="10.83203125" style="5"/>
  </cols>
  <sheetData>
    <row r="1" spans="1:32" ht="48" customHeight="1" x14ac:dyDescent="0.2">
      <c r="D1" s="149" t="s">
        <v>714</v>
      </c>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row>
    <row r="4" spans="1:32" x14ac:dyDescent="0.2">
      <c r="D4" s="143" t="s">
        <v>712</v>
      </c>
      <c r="E4" s="144"/>
      <c r="F4" s="144"/>
      <c r="G4" s="144"/>
      <c r="H4" s="144"/>
      <c r="I4" s="144"/>
      <c r="J4" s="144"/>
      <c r="K4" s="144"/>
      <c r="L4" s="144"/>
      <c r="M4" s="144"/>
      <c r="N4" s="145"/>
      <c r="P4" s="143" t="s">
        <v>713</v>
      </c>
      <c r="Q4" s="144"/>
      <c r="R4" s="144"/>
      <c r="S4" s="144"/>
      <c r="T4" s="144"/>
      <c r="U4" s="144"/>
      <c r="V4" s="144"/>
      <c r="W4" s="144"/>
      <c r="X4" s="144"/>
      <c r="Y4" s="144"/>
      <c r="Z4" s="144"/>
      <c r="AA4" s="144"/>
      <c r="AB4" s="144"/>
      <c r="AC4" s="144"/>
      <c r="AD4" s="144"/>
      <c r="AE4" s="145"/>
    </row>
    <row r="5" spans="1:32" ht="32" customHeight="1" x14ac:dyDescent="0.2">
      <c r="D5" s="71"/>
      <c r="K5" s="71"/>
      <c r="N5" s="72"/>
      <c r="P5" s="146" t="s">
        <v>706</v>
      </c>
      <c r="Q5" s="147"/>
      <c r="R5" s="147"/>
      <c r="S5" s="147"/>
      <c r="T5" s="147"/>
      <c r="U5" s="147"/>
      <c r="V5" s="78"/>
      <c r="W5" s="147" t="s">
        <v>707</v>
      </c>
      <c r="X5" s="147"/>
      <c r="Y5" s="147"/>
      <c r="Z5" s="147"/>
      <c r="AA5" s="147"/>
      <c r="AB5" s="147"/>
      <c r="AC5" s="147"/>
      <c r="AD5" s="147"/>
      <c r="AE5" s="148"/>
    </row>
    <row r="6" spans="1:32" ht="144" x14ac:dyDescent="0.2">
      <c r="A6" s="9"/>
      <c r="C6" s="9" t="s">
        <v>698</v>
      </c>
      <c r="D6" s="73" t="s">
        <v>673</v>
      </c>
      <c r="E6" s="9" t="s">
        <v>699</v>
      </c>
      <c r="F6" s="9" t="s">
        <v>674</v>
      </c>
      <c r="G6" s="9" t="s">
        <v>675</v>
      </c>
      <c r="H6" s="9" t="s">
        <v>676</v>
      </c>
      <c r="I6" s="9" t="s">
        <v>677</v>
      </c>
      <c r="K6" s="73" t="s">
        <v>678</v>
      </c>
      <c r="L6" s="9" t="s">
        <v>679</v>
      </c>
      <c r="M6" s="9" t="s">
        <v>680</v>
      </c>
      <c r="N6" s="74" t="s">
        <v>681</v>
      </c>
      <c r="P6" s="73" t="s">
        <v>662</v>
      </c>
      <c r="Q6" s="9" t="s">
        <v>663</v>
      </c>
      <c r="R6" s="9" t="s">
        <v>665</v>
      </c>
      <c r="S6" s="9" t="s">
        <v>664</v>
      </c>
      <c r="T6" s="9" t="s">
        <v>666</v>
      </c>
      <c r="U6" s="9" t="s">
        <v>715</v>
      </c>
      <c r="W6" s="9" t="s">
        <v>708</v>
      </c>
      <c r="X6" s="9" t="s">
        <v>709</v>
      </c>
      <c r="Y6" s="9" t="s">
        <v>710</v>
      </c>
      <c r="Z6" s="9" t="s">
        <v>711</v>
      </c>
      <c r="AB6" s="9" t="s">
        <v>700</v>
      </c>
      <c r="AC6" s="9" t="s">
        <v>701</v>
      </c>
      <c r="AD6" s="9" t="s">
        <v>716</v>
      </c>
      <c r="AE6" s="74" t="s">
        <v>717</v>
      </c>
      <c r="AF6" s="9"/>
    </row>
    <row r="7" spans="1:32" ht="32" x14ac:dyDescent="0.2">
      <c r="A7" s="9">
        <v>1</v>
      </c>
      <c r="C7" s="5" t="s">
        <v>512</v>
      </c>
      <c r="D7" s="71" t="s">
        <v>138</v>
      </c>
      <c r="E7" s="5" t="s">
        <v>513</v>
      </c>
      <c r="F7" s="5" t="s">
        <v>507</v>
      </c>
      <c r="G7" s="5">
        <v>10</v>
      </c>
      <c r="H7" s="5" t="s">
        <v>514</v>
      </c>
      <c r="K7" s="71" cm="1">
        <f t="array" ref="K7:K38">TRANSPOSE('Infrastructure - CExD_edit'!C46:AH46)</f>
        <v>11962.311670179999</v>
      </c>
      <c r="L7" s="5" cm="1">
        <f t="array" ref="L7:L38">TRANSPOSE('Infrastructure - CED'!C46:AH46)</f>
        <v>6861.2819</v>
      </c>
      <c r="M7" s="5" cm="1">
        <f t="array" ref="M7:M38">TRANSPOSE('Infrastructure - GWP20'!C46:AH46)</f>
        <v>430.74873000000002</v>
      </c>
      <c r="N7" s="72" cm="1">
        <f t="array" ref="N7:N38">TRANSPOSE('Infrastructure - GWP100'!C46:AH46)</f>
        <v>370.90156999999999</v>
      </c>
      <c r="P7" s="71">
        <v>2000</v>
      </c>
      <c r="Q7" s="5">
        <v>20</v>
      </c>
      <c r="R7" s="5">
        <v>10</v>
      </c>
      <c r="S7" s="5">
        <f>R7*Q7*P7</f>
        <v>400000</v>
      </c>
      <c r="T7" s="5">
        <f>S7*3.6</f>
        <v>1440000</v>
      </c>
      <c r="W7" s="5">
        <f t="shared" ref="W7:W24" si="0">K7/$T7</f>
        <v>8.3071608820694445E-3</v>
      </c>
      <c r="X7" s="5">
        <f t="shared" ref="X7:X24" si="1">L7/$T7</f>
        <v>4.7647790972222218E-3</v>
      </c>
      <c r="Y7" s="5">
        <f t="shared" ref="Y7:Y24" si="2">N7/$T7</f>
        <v>2.5757053472222222E-4</v>
      </c>
      <c r="Z7" s="5">
        <f t="shared" ref="Z7:Z24" si="3">M7/$T7</f>
        <v>2.9913106250000003E-4</v>
      </c>
      <c r="AB7" s="75">
        <f t="shared" ref="AB7:AB38" si="4">W7</f>
        <v>8.3071608820694445E-3</v>
      </c>
      <c r="AC7" s="75">
        <f t="shared" ref="AC7:AC38" si="5">X7</f>
        <v>4.7647790972222218E-3</v>
      </c>
      <c r="AD7" s="75">
        <f>Y7/0.055</f>
        <v>4.683100631313131E-3</v>
      </c>
      <c r="AE7" s="76">
        <f>Z7/0.055</f>
        <v>5.4387465909090911E-3</v>
      </c>
      <c r="AF7" s="59"/>
    </row>
    <row r="8" spans="1:32" ht="32" x14ac:dyDescent="0.2">
      <c r="A8" s="9">
        <v>2</v>
      </c>
      <c r="C8" s="5" t="s">
        <v>520</v>
      </c>
      <c r="D8" s="71" t="s">
        <v>138</v>
      </c>
      <c r="E8" s="5" t="s">
        <v>521</v>
      </c>
      <c r="F8" s="5" t="s">
        <v>507</v>
      </c>
      <c r="G8" s="5">
        <v>10</v>
      </c>
      <c r="H8" s="5" t="s">
        <v>514</v>
      </c>
      <c r="K8" s="71">
        <v>15226.616191800002</v>
      </c>
      <c r="L8" s="5">
        <v>8045.7062999999998</v>
      </c>
      <c r="M8" s="5">
        <v>3850.7963</v>
      </c>
      <c r="N8" s="72">
        <v>1766.047</v>
      </c>
      <c r="P8" s="71">
        <v>2000</v>
      </c>
      <c r="Q8" s="5">
        <v>15</v>
      </c>
      <c r="R8" s="5">
        <v>10</v>
      </c>
      <c r="S8" s="5">
        <f>R8*Q8*P8</f>
        <v>300000</v>
      </c>
      <c r="T8" s="5">
        <f t="shared" ref="T8:T38" si="6">S8*3.6</f>
        <v>1080000</v>
      </c>
      <c r="W8" s="5">
        <f t="shared" si="0"/>
        <v>1.4098718696111113E-2</v>
      </c>
      <c r="X8" s="5">
        <f t="shared" si="1"/>
        <v>7.449728055555555E-3</v>
      </c>
      <c r="Y8" s="5">
        <f t="shared" si="2"/>
        <v>1.6352287037037037E-3</v>
      </c>
      <c r="Z8" s="5">
        <f t="shared" si="3"/>
        <v>3.5655521296296296E-3</v>
      </c>
      <c r="AB8" s="75">
        <f t="shared" si="4"/>
        <v>1.4098718696111113E-2</v>
      </c>
      <c r="AC8" s="75">
        <f t="shared" si="5"/>
        <v>7.449728055555555E-3</v>
      </c>
      <c r="AD8" s="75">
        <f t="shared" ref="AD8:AD38" si="7">Y8/0.055</f>
        <v>2.9731430976430977E-2</v>
      </c>
      <c r="AE8" s="76">
        <f t="shared" ref="AE8:AE38" si="8">Z8/0.055</f>
        <v>6.4828220538720532E-2</v>
      </c>
      <c r="AF8" s="59"/>
    </row>
    <row r="9" spans="1:32" ht="32" x14ac:dyDescent="0.2">
      <c r="A9" s="9">
        <v>3</v>
      </c>
      <c r="C9" s="5" t="s">
        <v>131</v>
      </c>
      <c r="D9" s="71" t="s">
        <v>138</v>
      </c>
      <c r="E9" s="5" t="s">
        <v>522</v>
      </c>
      <c r="F9" s="5" t="s">
        <v>507</v>
      </c>
      <c r="G9" s="5">
        <v>150</v>
      </c>
      <c r="H9" s="5" t="s">
        <v>523</v>
      </c>
      <c r="K9" s="71">
        <v>26364.035226699994</v>
      </c>
      <c r="L9" s="5">
        <v>53481.302000000003</v>
      </c>
      <c r="M9" s="5">
        <v>3875.2817</v>
      </c>
      <c r="N9" s="72">
        <v>3174.8316</v>
      </c>
      <c r="P9" s="71">
        <v>2000</v>
      </c>
      <c r="Q9" s="5">
        <v>30</v>
      </c>
      <c r="R9" s="5">
        <v>10</v>
      </c>
      <c r="S9" s="5">
        <f>R9*Q9*P9</f>
        <v>600000</v>
      </c>
      <c r="T9" s="5">
        <f t="shared" si="6"/>
        <v>2160000</v>
      </c>
      <c r="W9" s="5">
        <f t="shared" si="0"/>
        <v>1.220557186421296E-2</v>
      </c>
      <c r="X9" s="5">
        <f t="shared" si="1"/>
        <v>2.4759862037037037E-2</v>
      </c>
      <c r="Y9" s="5">
        <f t="shared" si="2"/>
        <v>1.4698294444444445E-3</v>
      </c>
      <c r="Z9" s="5">
        <f t="shared" si="3"/>
        <v>1.7941118981481482E-3</v>
      </c>
      <c r="AB9" s="75">
        <f t="shared" si="4"/>
        <v>1.220557186421296E-2</v>
      </c>
      <c r="AC9" s="75">
        <f t="shared" si="5"/>
        <v>2.4759862037037037E-2</v>
      </c>
      <c r="AD9" s="75">
        <f t="shared" si="7"/>
        <v>2.6724171717171719E-2</v>
      </c>
      <c r="AE9" s="76">
        <f t="shared" si="8"/>
        <v>3.2620216329966333E-2</v>
      </c>
      <c r="AF9" s="59"/>
    </row>
    <row r="10" spans="1:32" ht="16" x14ac:dyDescent="0.2">
      <c r="A10" s="9"/>
      <c r="D10" s="71"/>
      <c r="E10" s="5" t="s">
        <v>521</v>
      </c>
      <c r="F10" s="5" t="s">
        <v>507</v>
      </c>
      <c r="G10" s="5">
        <v>10</v>
      </c>
      <c r="H10" s="5" t="s">
        <v>514</v>
      </c>
      <c r="K10" s="71">
        <v>15226.616191800002</v>
      </c>
      <c r="L10" s="5">
        <v>8045.7062999999998</v>
      </c>
      <c r="M10" s="5">
        <v>3850.7963</v>
      </c>
      <c r="N10" s="72">
        <v>1766.047</v>
      </c>
      <c r="P10" s="71">
        <v>2000</v>
      </c>
      <c r="Q10" s="5">
        <v>15</v>
      </c>
      <c r="R10" s="5">
        <v>10</v>
      </c>
      <c r="S10" s="5">
        <f>R10*Q10*P10</f>
        <v>300000</v>
      </c>
      <c r="T10" s="5">
        <f t="shared" si="6"/>
        <v>1080000</v>
      </c>
      <c r="W10" s="5">
        <f t="shared" si="0"/>
        <v>1.4098718696111113E-2</v>
      </c>
      <c r="X10" s="5">
        <f t="shared" si="1"/>
        <v>7.449728055555555E-3</v>
      </c>
      <c r="Y10" s="5">
        <f t="shared" si="2"/>
        <v>1.6352287037037037E-3</v>
      </c>
      <c r="Z10" s="5">
        <f t="shared" si="3"/>
        <v>3.5655521296296296E-3</v>
      </c>
      <c r="AB10" s="75">
        <f t="shared" si="4"/>
        <v>1.4098718696111113E-2</v>
      </c>
      <c r="AC10" s="75">
        <f t="shared" si="5"/>
        <v>7.449728055555555E-3</v>
      </c>
      <c r="AD10" s="75">
        <f t="shared" si="7"/>
        <v>2.9731430976430977E-2</v>
      </c>
      <c r="AE10" s="76">
        <f t="shared" si="8"/>
        <v>6.4828220538720532E-2</v>
      </c>
      <c r="AF10" s="59"/>
    </row>
    <row r="11" spans="1:32" ht="32" x14ac:dyDescent="0.2">
      <c r="A11" s="9">
        <v>4</v>
      </c>
      <c r="C11" s="5" t="s">
        <v>524</v>
      </c>
      <c r="D11" s="71" t="s">
        <v>138</v>
      </c>
      <c r="E11" s="5" t="s">
        <v>525</v>
      </c>
      <c r="F11" s="5" t="s">
        <v>507</v>
      </c>
      <c r="G11" s="5">
        <v>10</v>
      </c>
      <c r="H11" s="5" t="s">
        <v>515</v>
      </c>
      <c r="I11" s="5" t="s">
        <v>682</v>
      </c>
      <c r="K11" s="71">
        <v>3985723.3997599995</v>
      </c>
      <c r="L11" s="5">
        <v>2534824.7999999998</v>
      </c>
      <c r="M11" s="5">
        <v>696174.99</v>
      </c>
      <c r="N11" s="72">
        <v>361559</v>
      </c>
      <c r="P11" s="71">
        <v>2000</v>
      </c>
      <c r="Q11" s="5">
        <v>20</v>
      </c>
      <c r="R11" s="5">
        <v>10000</v>
      </c>
      <c r="S11" s="5">
        <f t="shared" ref="S11:S21" si="9">R11*Q11*P11</f>
        <v>400000000</v>
      </c>
      <c r="T11" s="5">
        <f t="shared" si="6"/>
        <v>1440000000</v>
      </c>
      <c r="W11" s="5">
        <f t="shared" si="0"/>
        <v>2.767863472055555E-3</v>
      </c>
      <c r="X11" s="5">
        <f t="shared" si="1"/>
        <v>1.7602949999999998E-3</v>
      </c>
      <c r="Y11" s="5">
        <f t="shared" si="2"/>
        <v>2.5108263888888892E-4</v>
      </c>
      <c r="Z11" s="5">
        <f t="shared" si="3"/>
        <v>4.8345485416666667E-4</v>
      </c>
      <c r="AB11" s="75">
        <f t="shared" si="4"/>
        <v>2.767863472055555E-3</v>
      </c>
      <c r="AC11" s="75">
        <f t="shared" si="5"/>
        <v>1.7602949999999998E-3</v>
      </c>
      <c r="AD11" s="75">
        <f t="shared" si="7"/>
        <v>4.5651388888888894E-3</v>
      </c>
      <c r="AE11" s="76">
        <f t="shared" si="8"/>
        <v>8.7900882575757573E-3</v>
      </c>
      <c r="AF11" s="59"/>
    </row>
    <row r="12" spans="1:32" ht="32" x14ac:dyDescent="0.2">
      <c r="A12" s="9">
        <v>5</v>
      </c>
      <c r="C12" s="5" t="s">
        <v>242</v>
      </c>
      <c r="D12" s="71" t="s">
        <v>207</v>
      </c>
      <c r="E12" s="5" t="s">
        <v>502</v>
      </c>
      <c r="F12" s="5" t="s">
        <v>516</v>
      </c>
      <c r="I12" s="5" t="s">
        <v>683</v>
      </c>
      <c r="K12" s="71">
        <v>875812.10727100004</v>
      </c>
      <c r="L12" s="5">
        <v>394839.33</v>
      </c>
      <c r="M12" s="5">
        <v>31603.978999999999</v>
      </c>
      <c r="N12" s="72">
        <v>28096.102999999999</v>
      </c>
      <c r="P12" s="71">
        <v>2000</v>
      </c>
      <c r="Q12" s="5">
        <v>50</v>
      </c>
      <c r="R12" s="5">
        <v>66</v>
      </c>
      <c r="S12" s="5">
        <f t="shared" si="9"/>
        <v>6600000</v>
      </c>
      <c r="T12" s="5">
        <f t="shared" si="6"/>
        <v>23760000</v>
      </c>
      <c r="W12" s="5">
        <f t="shared" si="0"/>
        <v>3.6860778925547143E-2</v>
      </c>
      <c r="X12" s="5">
        <f t="shared" si="1"/>
        <v>1.6617816919191921E-2</v>
      </c>
      <c r="Y12" s="5">
        <f t="shared" si="2"/>
        <v>1.1824959175084175E-3</v>
      </c>
      <c r="Z12" s="5">
        <f t="shared" si="3"/>
        <v>1.3301337962962963E-3</v>
      </c>
      <c r="AB12" s="75">
        <f t="shared" si="4"/>
        <v>3.6860778925547143E-2</v>
      </c>
      <c r="AC12" s="75">
        <f t="shared" si="5"/>
        <v>1.6617816919191921E-2</v>
      </c>
      <c r="AD12" s="75">
        <f t="shared" si="7"/>
        <v>2.1499925772880318E-2</v>
      </c>
      <c r="AE12" s="76">
        <f t="shared" si="8"/>
        <v>2.4184250841750844E-2</v>
      </c>
      <c r="AF12" s="59"/>
    </row>
    <row r="13" spans="1:32" ht="32" x14ac:dyDescent="0.2">
      <c r="A13" s="9">
        <v>6</v>
      </c>
      <c r="C13" s="5" t="s">
        <v>518</v>
      </c>
      <c r="D13" s="71" t="s">
        <v>138</v>
      </c>
      <c r="E13" s="5" t="s">
        <v>519</v>
      </c>
      <c r="F13" s="5" t="s">
        <v>507</v>
      </c>
      <c r="G13" s="5">
        <v>100</v>
      </c>
      <c r="H13" s="5" t="s">
        <v>514</v>
      </c>
      <c r="K13" s="71">
        <v>318988.79251379997</v>
      </c>
      <c r="L13" s="5">
        <v>187365.95</v>
      </c>
      <c r="M13" s="5">
        <v>11679.517</v>
      </c>
      <c r="N13" s="72">
        <v>9994.3086999999996</v>
      </c>
      <c r="P13" s="71">
        <v>2000</v>
      </c>
      <c r="Q13" s="5">
        <v>30</v>
      </c>
      <c r="R13" s="5">
        <v>100</v>
      </c>
      <c r="S13" s="5">
        <f t="shared" si="9"/>
        <v>6000000</v>
      </c>
      <c r="T13" s="5">
        <f t="shared" si="6"/>
        <v>21600000</v>
      </c>
      <c r="W13" s="5">
        <f t="shared" si="0"/>
        <v>1.4767999653416665E-2</v>
      </c>
      <c r="X13" s="5">
        <f t="shared" si="1"/>
        <v>8.6743495370370377E-3</v>
      </c>
      <c r="Y13" s="5">
        <f t="shared" si="2"/>
        <v>4.6269947685185185E-4</v>
      </c>
      <c r="Z13" s="5">
        <f t="shared" si="3"/>
        <v>5.4071837962962963E-4</v>
      </c>
      <c r="AB13" s="75">
        <f t="shared" si="4"/>
        <v>1.4767999653416665E-2</v>
      </c>
      <c r="AC13" s="75">
        <f t="shared" si="5"/>
        <v>8.6743495370370377E-3</v>
      </c>
      <c r="AD13" s="75">
        <f t="shared" si="7"/>
        <v>8.4127177609427603E-3</v>
      </c>
      <c r="AE13" s="76">
        <f t="shared" si="8"/>
        <v>9.8312432659932655E-3</v>
      </c>
      <c r="AF13" s="59"/>
    </row>
    <row r="14" spans="1:32" ht="32" x14ac:dyDescent="0.2">
      <c r="A14" s="9">
        <v>7</v>
      </c>
      <c r="C14" s="5" t="s">
        <v>526</v>
      </c>
      <c r="D14" s="71" t="s">
        <v>138</v>
      </c>
      <c r="E14" s="5" t="s">
        <v>527</v>
      </c>
      <c r="F14" s="5" t="s">
        <v>507</v>
      </c>
      <c r="G14" s="5">
        <v>1</v>
      </c>
      <c r="H14" s="5" t="s">
        <v>530</v>
      </c>
      <c r="K14" s="71">
        <v>4917104.5083799995</v>
      </c>
      <c r="L14" s="5">
        <v>3449996.6</v>
      </c>
      <c r="M14" s="5">
        <v>234440.41</v>
      </c>
      <c r="N14" s="72">
        <v>202992.31</v>
      </c>
      <c r="P14" s="71">
        <v>2000</v>
      </c>
      <c r="Q14" s="5">
        <v>15</v>
      </c>
      <c r="R14" s="5">
        <v>1000</v>
      </c>
      <c r="S14" s="5">
        <f t="shared" si="9"/>
        <v>30000000</v>
      </c>
      <c r="T14" s="5">
        <f t="shared" si="6"/>
        <v>108000000</v>
      </c>
      <c r="W14" s="5">
        <f t="shared" si="0"/>
        <v>4.5528745447962961E-2</v>
      </c>
      <c r="X14" s="5">
        <f t="shared" si="1"/>
        <v>3.1944412962962965E-2</v>
      </c>
      <c r="Y14" s="5">
        <f t="shared" si="2"/>
        <v>1.879558425925926E-3</v>
      </c>
      <c r="Z14" s="5">
        <f t="shared" si="3"/>
        <v>2.1707445370370369E-3</v>
      </c>
      <c r="AB14" s="75">
        <f t="shared" si="4"/>
        <v>4.5528745447962961E-2</v>
      </c>
      <c r="AC14" s="75">
        <f t="shared" si="5"/>
        <v>3.1944412962962965E-2</v>
      </c>
      <c r="AD14" s="75">
        <f t="shared" si="7"/>
        <v>3.4173789562289565E-2</v>
      </c>
      <c r="AE14" s="76">
        <f t="shared" si="8"/>
        <v>3.9468082491582492E-2</v>
      </c>
      <c r="AF14" s="59"/>
    </row>
    <row r="15" spans="1:32" ht="16" x14ac:dyDescent="0.2">
      <c r="A15" s="9"/>
      <c r="D15" s="71"/>
      <c r="E15" s="5" t="s">
        <v>528</v>
      </c>
      <c r="F15" s="5" t="s">
        <v>507</v>
      </c>
      <c r="G15" s="5">
        <v>1</v>
      </c>
      <c r="H15" s="5" t="s">
        <v>530</v>
      </c>
      <c r="K15" s="71">
        <v>1029569.5013379999</v>
      </c>
      <c r="L15" s="5">
        <v>647145.6</v>
      </c>
      <c r="M15" s="5">
        <v>43213.368999999999</v>
      </c>
      <c r="N15" s="72">
        <v>37286.762000000002</v>
      </c>
      <c r="P15" s="71">
        <v>2000</v>
      </c>
      <c r="Q15" s="5">
        <v>15</v>
      </c>
      <c r="R15" s="5">
        <v>1000</v>
      </c>
      <c r="S15" s="5">
        <f t="shared" si="9"/>
        <v>30000000</v>
      </c>
      <c r="T15" s="5">
        <f t="shared" si="6"/>
        <v>108000000</v>
      </c>
      <c r="W15" s="5">
        <f t="shared" si="0"/>
        <v>9.5330509383148142E-3</v>
      </c>
      <c r="X15" s="5">
        <f t="shared" si="1"/>
        <v>5.9920888888888883E-3</v>
      </c>
      <c r="Y15" s="5">
        <f t="shared" si="2"/>
        <v>3.4524779629629634E-4</v>
      </c>
      <c r="Z15" s="5">
        <f t="shared" si="3"/>
        <v>4.00123787037037E-4</v>
      </c>
      <c r="AB15" s="75">
        <f t="shared" si="4"/>
        <v>9.5330509383148142E-3</v>
      </c>
      <c r="AC15" s="75">
        <f t="shared" si="5"/>
        <v>5.9920888888888883E-3</v>
      </c>
      <c r="AD15" s="75">
        <f t="shared" si="7"/>
        <v>6.2772326599326604E-3</v>
      </c>
      <c r="AE15" s="76">
        <f t="shared" si="8"/>
        <v>7.2749779461279453E-3</v>
      </c>
      <c r="AF15" s="59"/>
    </row>
    <row r="16" spans="1:32" ht="16" x14ac:dyDescent="0.2">
      <c r="A16" s="9"/>
      <c r="D16" s="71"/>
      <c r="E16" s="5" t="s">
        <v>529</v>
      </c>
      <c r="F16" s="5" t="s">
        <v>507</v>
      </c>
      <c r="G16" s="5">
        <v>1</v>
      </c>
      <c r="H16" s="5" t="s">
        <v>530</v>
      </c>
      <c r="K16" s="71">
        <v>1059804.1634430001</v>
      </c>
      <c r="L16" s="5">
        <v>661814.89</v>
      </c>
      <c r="M16" s="5">
        <v>43291.593999999997</v>
      </c>
      <c r="N16" s="72">
        <v>37393.633000000002</v>
      </c>
      <c r="P16" s="71">
        <v>2000</v>
      </c>
      <c r="Q16" s="5">
        <v>15</v>
      </c>
      <c r="R16" s="5">
        <v>1000</v>
      </c>
      <c r="S16" s="5">
        <f t="shared" si="9"/>
        <v>30000000</v>
      </c>
      <c r="T16" s="5">
        <f t="shared" si="6"/>
        <v>108000000</v>
      </c>
      <c r="W16" s="5">
        <f t="shared" si="0"/>
        <v>9.8130015133611123E-3</v>
      </c>
      <c r="X16" s="5">
        <f t="shared" si="1"/>
        <v>6.1279156481481483E-3</v>
      </c>
      <c r="Y16" s="5">
        <f t="shared" si="2"/>
        <v>3.4623734259259259E-4</v>
      </c>
      <c r="Z16" s="5">
        <f t="shared" si="3"/>
        <v>4.0084809259259259E-4</v>
      </c>
      <c r="AB16" s="75">
        <f t="shared" si="4"/>
        <v>9.8130015133611123E-3</v>
      </c>
      <c r="AC16" s="75">
        <f t="shared" si="5"/>
        <v>6.1279156481481483E-3</v>
      </c>
      <c r="AD16" s="75">
        <f t="shared" si="7"/>
        <v>6.2952244107744105E-3</v>
      </c>
      <c r="AE16" s="76">
        <f t="shared" si="8"/>
        <v>7.288147138047138E-3</v>
      </c>
      <c r="AF16" s="59"/>
    </row>
    <row r="17" spans="1:32" ht="32" x14ac:dyDescent="0.2">
      <c r="A17" s="9">
        <v>8</v>
      </c>
      <c r="C17" s="5" t="s">
        <v>534</v>
      </c>
      <c r="D17" s="71" t="s">
        <v>138</v>
      </c>
      <c r="E17" s="5" t="s">
        <v>533</v>
      </c>
      <c r="F17" s="5" t="s">
        <v>507</v>
      </c>
      <c r="I17" s="5" t="s">
        <v>684</v>
      </c>
      <c r="K17" s="71">
        <v>2205637115.0799999</v>
      </c>
      <c r="L17" s="5">
        <v>2069288700</v>
      </c>
      <c r="M17" s="5">
        <v>163723170</v>
      </c>
      <c r="N17" s="72">
        <v>142274400</v>
      </c>
      <c r="P17" s="71">
        <v>2000</v>
      </c>
      <c r="Q17" s="5">
        <v>15</v>
      </c>
      <c r="R17" s="5">
        <v>1000000</v>
      </c>
      <c r="S17" s="5">
        <f t="shared" si="9"/>
        <v>30000000000</v>
      </c>
      <c r="T17" s="5">
        <f t="shared" si="6"/>
        <v>108000000000</v>
      </c>
      <c r="W17" s="5">
        <f t="shared" si="0"/>
        <v>2.0422565880370371E-2</v>
      </c>
      <c r="X17" s="5">
        <f t="shared" si="1"/>
        <v>1.9160080555555556E-2</v>
      </c>
      <c r="Y17" s="5">
        <f t="shared" si="2"/>
        <v>1.3173555555555556E-3</v>
      </c>
      <c r="Z17" s="5">
        <f t="shared" si="3"/>
        <v>1.5159552777777778E-3</v>
      </c>
      <c r="AB17" s="75">
        <f t="shared" si="4"/>
        <v>2.0422565880370371E-2</v>
      </c>
      <c r="AC17" s="75">
        <f t="shared" si="5"/>
        <v>1.9160080555555556E-2</v>
      </c>
      <c r="AD17" s="75">
        <f t="shared" si="7"/>
        <v>2.3951919191919194E-2</v>
      </c>
      <c r="AE17" s="76">
        <f t="shared" si="8"/>
        <v>2.7562823232323234E-2</v>
      </c>
      <c r="AF17" s="59"/>
    </row>
    <row r="18" spans="1:32" ht="16" x14ac:dyDescent="0.2">
      <c r="A18" s="9">
        <v>9</v>
      </c>
      <c r="C18" s="5" t="s">
        <v>531</v>
      </c>
      <c r="D18" s="71" t="s">
        <v>138</v>
      </c>
      <c r="E18" s="5" t="s">
        <v>532</v>
      </c>
      <c r="F18" s="5" t="s">
        <v>507</v>
      </c>
      <c r="I18" s="5" t="s">
        <v>685</v>
      </c>
      <c r="K18" s="71">
        <v>2746431771.3400002</v>
      </c>
      <c r="L18" s="5">
        <v>2636982500</v>
      </c>
      <c r="M18" s="5">
        <v>209517660</v>
      </c>
      <c r="N18" s="72">
        <v>182064380</v>
      </c>
      <c r="P18" s="71">
        <v>2000</v>
      </c>
      <c r="Q18" s="5">
        <v>15</v>
      </c>
      <c r="R18" s="5">
        <v>1000000</v>
      </c>
      <c r="S18" s="5">
        <f t="shared" si="9"/>
        <v>30000000000</v>
      </c>
      <c r="T18" s="5">
        <f t="shared" si="6"/>
        <v>108000000000</v>
      </c>
      <c r="W18" s="5">
        <f t="shared" si="0"/>
        <v>2.5429923808703705E-2</v>
      </c>
      <c r="X18" s="5">
        <f t="shared" si="1"/>
        <v>2.4416504629629628E-2</v>
      </c>
      <c r="Y18" s="5">
        <f t="shared" si="2"/>
        <v>1.6857812962962962E-3</v>
      </c>
      <c r="Z18" s="5">
        <f t="shared" si="3"/>
        <v>1.9399783333333333E-3</v>
      </c>
      <c r="AB18" s="75">
        <f t="shared" si="4"/>
        <v>2.5429923808703705E-2</v>
      </c>
      <c r="AC18" s="75">
        <f t="shared" si="5"/>
        <v>2.4416504629629628E-2</v>
      </c>
      <c r="AD18" s="75">
        <f t="shared" si="7"/>
        <v>3.0650569023569021E-2</v>
      </c>
      <c r="AE18" s="76">
        <f t="shared" si="8"/>
        <v>3.5272333333333336E-2</v>
      </c>
      <c r="AF18" s="59"/>
    </row>
    <row r="19" spans="1:32" ht="32" x14ac:dyDescent="0.2">
      <c r="A19" s="9">
        <v>10</v>
      </c>
      <c r="C19" s="5" t="s">
        <v>535</v>
      </c>
      <c r="D19" s="71" t="s">
        <v>138</v>
      </c>
      <c r="E19" s="5" t="s">
        <v>503</v>
      </c>
      <c r="F19" s="5" t="s">
        <v>507</v>
      </c>
      <c r="G19" s="5">
        <v>6400</v>
      </c>
      <c r="H19" s="5" t="s">
        <v>537</v>
      </c>
      <c r="I19" s="5" t="s">
        <v>686</v>
      </c>
      <c r="K19" s="71">
        <v>799503.22890999995</v>
      </c>
      <c r="L19" s="5">
        <v>587636.38</v>
      </c>
      <c r="M19" s="5">
        <v>42945.834999999999</v>
      </c>
      <c r="N19" s="72">
        <v>37343.83</v>
      </c>
      <c r="P19" s="71">
        <v>2000</v>
      </c>
      <c r="Q19" s="5">
        <v>15</v>
      </c>
      <c r="R19" s="5">
        <v>6400</v>
      </c>
      <c r="S19" s="5">
        <f t="shared" si="9"/>
        <v>192000000</v>
      </c>
      <c r="T19" s="5">
        <f t="shared" si="6"/>
        <v>691200000</v>
      </c>
      <c r="W19" s="5">
        <f t="shared" si="0"/>
        <v>1.1566886992332175E-3</v>
      </c>
      <c r="X19" s="5">
        <f t="shared" si="1"/>
        <v>8.5016837384259262E-4</v>
      </c>
      <c r="Y19" s="5">
        <f t="shared" si="2"/>
        <v>5.4027531828703705E-5</v>
      </c>
      <c r="Z19" s="5">
        <f t="shared" si="3"/>
        <v>6.2132284432870371E-5</v>
      </c>
      <c r="AB19" s="75">
        <f t="shared" si="4"/>
        <v>1.1566886992332175E-3</v>
      </c>
      <c r="AC19" s="75">
        <f t="shared" si="5"/>
        <v>8.5016837384259262E-4</v>
      </c>
      <c r="AD19" s="75">
        <f t="shared" si="7"/>
        <v>9.8231876052188552E-4</v>
      </c>
      <c r="AE19" s="76">
        <f t="shared" si="8"/>
        <v>1.1296778987794614E-3</v>
      </c>
      <c r="AF19" s="59"/>
    </row>
    <row r="20" spans="1:32" ht="32" x14ac:dyDescent="0.2">
      <c r="A20" s="9"/>
      <c r="D20" s="71"/>
      <c r="E20" s="5" t="s">
        <v>536</v>
      </c>
      <c r="F20" s="5" t="s">
        <v>507</v>
      </c>
      <c r="G20" s="5">
        <v>6400</v>
      </c>
      <c r="H20" s="5" t="s">
        <v>537</v>
      </c>
      <c r="I20" s="5" t="s">
        <v>687</v>
      </c>
      <c r="K20" s="71">
        <v>392486.37786399998</v>
      </c>
      <c r="L20" s="5">
        <v>777960.99</v>
      </c>
      <c r="M20" s="5">
        <v>57222.074000000001</v>
      </c>
      <c r="N20" s="72">
        <v>49032.726000000002</v>
      </c>
      <c r="P20" s="71">
        <v>2000</v>
      </c>
      <c r="Q20" s="5">
        <v>15</v>
      </c>
      <c r="R20" s="5">
        <v>6400</v>
      </c>
      <c r="S20" s="5">
        <f t="shared" si="9"/>
        <v>192000000</v>
      </c>
      <c r="T20" s="5">
        <f t="shared" si="6"/>
        <v>691200000</v>
      </c>
      <c r="W20" s="5">
        <f t="shared" si="0"/>
        <v>5.6783330130787037E-4</v>
      </c>
      <c r="X20" s="5">
        <f t="shared" si="1"/>
        <v>1.125522265625E-3</v>
      </c>
      <c r="Y20" s="5">
        <f t="shared" si="2"/>
        <v>7.0938550347222226E-5</v>
      </c>
      <c r="Z20" s="5">
        <f t="shared" si="3"/>
        <v>8.2786565393518519E-5</v>
      </c>
      <c r="AB20" s="75">
        <f t="shared" si="4"/>
        <v>5.6783330130787037E-4</v>
      </c>
      <c r="AC20" s="75">
        <f t="shared" si="5"/>
        <v>1.125522265625E-3</v>
      </c>
      <c r="AD20" s="75">
        <f t="shared" si="7"/>
        <v>1.2897918244949495E-3</v>
      </c>
      <c r="AE20" s="76">
        <f t="shared" si="8"/>
        <v>1.5052102798821549E-3</v>
      </c>
      <c r="AF20" s="59"/>
    </row>
    <row r="21" spans="1:32" ht="32" x14ac:dyDescent="0.2">
      <c r="A21" s="9"/>
      <c r="D21" s="71"/>
      <c r="E21" s="5" t="s">
        <v>504</v>
      </c>
      <c r="F21" s="5" t="s">
        <v>507</v>
      </c>
      <c r="G21" s="5">
        <v>6400</v>
      </c>
      <c r="H21" s="5" t="s">
        <v>537</v>
      </c>
      <c r="I21" s="5" t="s">
        <v>687</v>
      </c>
      <c r="K21" s="71">
        <v>5668489.5865500001</v>
      </c>
      <c r="L21" s="5">
        <v>4399548.2</v>
      </c>
      <c r="M21" s="5">
        <v>335394.40000000002</v>
      </c>
      <c r="N21" s="72">
        <v>303401.62</v>
      </c>
      <c r="P21" s="71">
        <v>2000</v>
      </c>
      <c r="Q21" s="5">
        <v>15</v>
      </c>
      <c r="R21" s="5">
        <v>6400</v>
      </c>
      <c r="S21" s="5">
        <f t="shared" si="9"/>
        <v>192000000</v>
      </c>
      <c r="T21" s="5">
        <f t="shared" si="6"/>
        <v>691200000</v>
      </c>
      <c r="W21" s="5">
        <f t="shared" si="0"/>
        <v>8.2009397953559035E-3</v>
      </c>
      <c r="X21" s="5">
        <f t="shared" si="1"/>
        <v>6.3650870949074076E-3</v>
      </c>
      <c r="Y21" s="5">
        <f t="shared" si="2"/>
        <v>4.3894910300925927E-4</v>
      </c>
      <c r="Z21" s="5">
        <f t="shared" si="3"/>
        <v>4.8523495370370376E-4</v>
      </c>
      <c r="AB21" s="75">
        <f t="shared" si="4"/>
        <v>8.2009397953559035E-3</v>
      </c>
      <c r="AC21" s="75">
        <f t="shared" si="5"/>
        <v>6.3650870949074076E-3</v>
      </c>
      <c r="AD21" s="75">
        <f t="shared" si="7"/>
        <v>7.9808927819865327E-3</v>
      </c>
      <c r="AE21" s="76">
        <f t="shared" si="8"/>
        <v>8.8224537037037039E-3</v>
      </c>
      <c r="AF21" s="59"/>
    </row>
    <row r="22" spans="1:32" ht="32" x14ac:dyDescent="0.2">
      <c r="A22" s="9">
        <v>11</v>
      </c>
      <c r="C22" s="5" t="s">
        <v>538</v>
      </c>
      <c r="D22" s="71" t="s">
        <v>207</v>
      </c>
      <c r="E22" s="5" t="s">
        <v>539</v>
      </c>
      <c r="F22" s="5" t="s">
        <v>507</v>
      </c>
      <c r="G22" s="5">
        <v>1000</v>
      </c>
      <c r="H22" s="5" t="s">
        <v>515</v>
      </c>
      <c r="I22" s="5" t="s">
        <v>688</v>
      </c>
      <c r="K22" s="71">
        <v>15660475918.32</v>
      </c>
      <c r="L22" s="5">
        <v>8701165700</v>
      </c>
      <c r="M22" s="5">
        <v>575378600</v>
      </c>
      <c r="N22" s="72">
        <v>510063420</v>
      </c>
      <c r="P22" s="71">
        <v>8000</v>
      </c>
      <c r="Q22" s="5">
        <v>40</v>
      </c>
      <c r="R22" s="5">
        <v>1000000</v>
      </c>
      <c r="S22" s="5">
        <f t="shared" ref="S22:S27" si="10">R22*Q22*P22</f>
        <v>320000000000</v>
      </c>
      <c r="T22" s="5">
        <f t="shared" si="6"/>
        <v>1152000000000</v>
      </c>
      <c r="W22" s="5">
        <f t="shared" si="0"/>
        <v>1.3594163123541666E-2</v>
      </c>
      <c r="X22" s="5">
        <f t="shared" si="1"/>
        <v>7.5530952256944442E-3</v>
      </c>
      <c r="Y22" s="5">
        <f t="shared" si="2"/>
        <v>4.4276338541666667E-4</v>
      </c>
      <c r="Z22" s="5">
        <f t="shared" si="3"/>
        <v>4.9946059027777779E-4</v>
      </c>
      <c r="AB22" s="75">
        <f t="shared" si="4"/>
        <v>1.3594163123541666E-2</v>
      </c>
      <c r="AC22" s="75">
        <f t="shared" si="5"/>
        <v>7.5530952256944442E-3</v>
      </c>
      <c r="AD22" s="75">
        <f t="shared" si="7"/>
        <v>8.0502433712121204E-3</v>
      </c>
      <c r="AE22" s="76">
        <f t="shared" si="8"/>
        <v>9.0811016414141417E-3</v>
      </c>
      <c r="AF22" s="59"/>
    </row>
    <row r="23" spans="1:32" ht="32" x14ac:dyDescent="0.2">
      <c r="A23" s="9"/>
      <c r="C23" s="5" t="s">
        <v>541</v>
      </c>
      <c r="D23" s="71" t="s">
        <v>207</v>
      </c>
      <c r="E23" s="5" t="s">
        <v>540</v>
      </c>
      <c r="F23" s="5" t="s">
        <v>507</v>
      </c>
      <c r="G23" s="5">
        <v>1000</v>
      </c>
      <c r="H23" s="5" t="s">
        <v>515</v>
      </c>
      <c r="I23" s="5" t="s">
        <v>688</v>
      </c>
      <c r="K23" s="71">
        <v>15309648762.630001</v>
      </c>
      <c r="L23" s="5">
        <v>8341458900</v>
      </c>
      <c r="M23" s="5">
        <v>552315970</v>
      </c>
      <c r="N23" s="72">
        <v>490061190</v>
      </c>
      <c r="P23" s="71">
        <v>8000</v>
      </c>
      <c r="Q23" s="5">
        <v>40</v>
      </c>
      <c r="R23" s="5">
        <v>1000000</v>
      </c>
      <c r="S23" s="5">
        <f t="shared" si="10"/>
        <v>320000000000</v>
      </c>
      <c r="T23" s="5">
        <f t="shared" si="6"/>
        <v>1152000000000</v>
      </c>
      <c r="W23" s="5">
        <f t="shared" si="0"/>
        <v>1.3289625662005209E-2</v>
      </c>
      <c r="X23" s="5">
        <f t="shared" si="1"/>
        <v>7.2408497395833335E-3</v>
      </c>
      <c r="Y23" s="5">
        <f t="shared" si="2"/>
        <v>4.2540033854166669E-4</v>
      </c>
      <c r="Z23" s="5">
        <f t="shared" si="3"/>
        <v>4.7944094618055554E-4</v>
      </c>
      <c r="AB23" s="75">
        <f t="shared" si="4"/>
        <v>1.3289625662005209E-2</v>
      </c>
      <c r="AC23" s="75">
        <f t="shared" si="5"/>
        <v>7.2408497395833335E-3</v>
      </c>
      <c r="AD23" s="75">
        <f t="shared" si="7"/>
        <v>7.7345516098484852E-3</v>
      </c>
      <c r="AE23" s="76">
        <f t="shared" si="8"/>
        <v>8.7171081123737365E-3</v>
      </c>
      <c r="AF23" s="59"/>
    </row>
    <row r="24" spans="1:32" ht="32" x14ac:dyDescent="0.2">
      <c r="A24" s="9">
        <v>12</v>
      </c>
      <c r="C24" s="5" t="s">
        <v>542</v>
      </c>
      <c r="D24" s="71" t="s">
        <v>138</v>
      </c>
      <c r="E24" s="5" t="s">
        <v>543</v>
      </c>
      <c r="F24" s="5" t="s">
        <v>138</v>
      </c>
      <c r="I24" s="5" t="s">
        <v>689</v>
      </c>
      <c r="K24" s="71">
        <v>0.29693905298869999</v>
      </c>
      <c r="L24" s="5">
        <v>5.7112027000000003E-2</v>
      </c>
      <c r="M24" s="5">
        <v>1.3105206999999999E-3</v>
      </c>
      <c r="N24" s="72">
        <v>1.1867078E-3</v>
      </c>
      <c r="P24" s="71">
        <v>2000</v>
      </c>
      <c r="Q24" s="5">
        <v>50</v>
      </c>
      <c r="R24" s="5">
        <f>1/3.6</f>
        <v>0.27777777777777779</v>
      </c>
      <c r="S24" s="5">
        <f t="shared" si="10"/>
        <v>27777.777777777777</v>
      </c>
      <c r="T24" s="5">
        <f t="shared" si="6"/>
        <v>100000</v>
      </c>
      <c r="W24" s="5">
        <f t="shared" si="0"/>
        <v>2.9693905298869999E-6</v>
      </c>
      <c r="X24" s="5">
        <f t="shared" si="1"/>
        <v>5.7112027000000007E-7</v>
      </c>
      <c r="Y24" s="5">
        <f t="shared" si="2"/>
        <v>1.1867078E-8</v>
      </c>
      <c r="Z24" s="5">
        <f t="shared" si="3"/>
        <v>1.3105206999999999E-8</v>
      </c>
      <c r="AB24" s="75">
        <f t="shared" si="4"/>
        <v>2.9693905298869999E-6</v>
      </c>
      <c r="AC24" s="75">
        <f t="shared" si="5"/>
        <v>5.7112027000000007E-7</v>
      </c>
      <c r="AD24" s="75">
        <f t="shared" si="7"/>
        <v>2.1576505454545453E-7</v>
      </c>
      <c r="AE24" s="76">
        <f t="shared" si="8"/>
        <v>2.3827649090909088E-7</v>
      </c>
      <c r="AF24" s="59"/>
    </row>
    <row r="25" spans="1:32" ht="16" x14ac:dyDescent="0.2">
      <c r="A25" s="9">
        <v>13</v>
      </c>
      <c r="D25" s="71"/>
      <c r="E25" s="5" t="s">
        <v>544</v>
      </c>
      <c r="F25" s="5" t="s">
        <v>138</v>
      </c>
      <c r="I25" s="5" t="s">
        <v>689</v>
      </c>
      <c r="K25" s="71">
        <v>0.15631268103660001</v>
      </c>
      <c r="L25" s="5">
        <v>3.0798612E-2</v>
      </c>
      <c r="M25" s="5">
        <v>6.8286599999999996E-4</v>
      </c>
      <c r="N25" s="72">
        <v>5.9544391000000002E-4</v>
      </c>
      <c r="P25" s="71">
        <v>2000</v>
      </c>
      <c r="Q25" s="5">
        <v>50</v>
      </c>
      <c r="R25" s="5">
        <f>1/3.6</f>
        <v>0.27777777777777779</v>
      </c>
      <c r="S25" s="5">
        <f t="shared" si="10"/>
        <v>27777.777777777777</v>
      </c>
      <c r="T25" s="5">
        <f t="shared" si="6"/>
        <v>100000</v>
      </c>
      <c r="AB25" s="75">
        <f t="shared" si="4"/>
        <v>0</v>
      </c>
      <c r="AC25" s="75">
        <f t="shared" si="5"/>
        <v>0</v>
      </c>
      <c r="AD25" s="75">
        <f t="shared" si="7"/>
        <v>0</v>
      </c>
      <c r="AE25" s="76">
        <f t="shared" si="8"/>
        <v>0</v>
      </c>
      <c r="AF25" s="59"/>
    </row>
    <row r="26" spans="1:32" ht="32" x14ac:dyDescent="0.2">
      <c r="A26" s="9">
        <v>14</v>
      </c>
      <c r="C26" s="5" t="s">
        <v>545</v>
      </c>
      <c r="D26" s="71" t="s">
        <v>207</v>
      </c>
      <c r="E26" s="5" t="s">
        <v>546</v>
      </c>
      <c r="F26" s="5" t="s">
        <v>507</v>
      </c>
      <c r="G26" s="5">
        <v>3</v>
      </c>
      <c r="H26" s="5" t="s">
        <v>517</v>
      </c>
      <c r="I26" s="5" t="s">
        <v>689</v>
      </c>
      <c r="K26" s="71">
        <v>93766.046837600006</v>
      </c>
      <c r="L26" s="5">
        <v>53147.697</v>
      </c>
      <c r="M26" s="5">
        <v>4222.9314000000004</v>
      </c>
      <c r="N26" s="72">
        <v>3502.0228999999999</v>
      </c>
      <c r="P26" s="71">
        <v>2000</v>
      </c>
      <c r="Q26" s="5">
        <v>30</v>
      </c>
      <c r="R26" s="5">
        <v>3</v>
      </c>
      <c r="S26" s="5">
        <f t="shared" si="10"/>
        <v>180000</v>
      </c>
      <c r="T26" s="5">
        <f t="shared" si="6"/>
        <v>648000</v>
      </c>
      <c r="W26" s="5">
        <f t="shared" ref="W26:W35" si="11">K26/$T26</f>
        <v>0.14470068956419754</v>
      </c>
      <c r="X26" s="5">
        <f t="shared" ref="X26:X35" si="12">L26/$T26</f>
        <v>8.2018050925925928E-2</v>
      </c>
      <c r="Y26" s="5">
        <f t="shared" ref="Y26:Y35" si="13">N26/$T26</f>
        <v>5.4043563271604939E-3</v>
      </c>
      <c r="Z26" s="5">
        <f t="shared" ref="Z26:Z35" si="14">M26/$T26</f>
        <v>6.5168694444444454E-3</v>
      </c>
      <c r="AB26" s="75">
        <f t="shared" si="4"/>
        <v>0.14470068956419754</v>
      </c>
      <c r="AC26" s="75">
        <f t="shared" si="5"/>
        <v>8.2018050925925928E-2</v>
      </c>
      <c r="AD26" s="75">
        <f t="shared" si="7"/>
        <v>9.8261024130190805E-2</v>
      </c>
      <c r="AE26" s="76">
        <f t="shared" si="8"/>
        <v>0.11848853535353537</v>
      </c>
      <c r="AF26" s="59"/>
    </row>
    <row r="27" spans="1:32" ht="32" x14ac:dyDescent="0.2">
      <c r="A27" s="9">
        <v>15</v>
      </c>
      <c r="C27" s="5" t="s">
        <v>547</v>
      </c>
      <c r="D27" s="71" t="s">
        <v>207</v>
      </c>
      <c r="E27" s="5" t="s">
        <v>548</v>
      </c>
      <c r="F27" s="5" t="s">
        <v>507</v>
      </c>
      <c r="G27" s="5">
        <v>560</v>
      </c>
      <c r="H27" s="5" t="s">
        <v>517</v>
      </c>
      <c r="I27" s="5" t="s">
        <v>689</v>
      </c>
      <c r="K27" s="71">
        <v>15228700.2412</v>
      </c>
      <c r="L27" s="5">
        <v>11449028</v>
      </c>
      <c r="M27" s="5">
        <v>959736.36</v>
      </c>
      <c r="N27" s="72">
        <v>795393.37</v>
      </c>
      <c r="P27" s="71">
        <v>2000</v>
      </c>
      <c r="Q27" s="5">
        <v>30</v>
      </c>
      <c r="R27" s="5">
        <v>560</v>
      </c>
      <c r="S27" s="5">
        <f t="shared" si="10"/>
        <v>33600000</v>
      </c>
      <c r="T27" s="5">
        <f t="shared" si="6"/>
        <v>120960000</v>
      </c>
      <c r="W27" s="5">
        <f t="shared" si="11"/>
        <v>0.12589864617394181</v>
      </c>
      <c r="X27" s="5">
        <f t="shared" si="12"/>
        <v>9.4651355820105823E-2</v>
      </c>
      <c r="Y27" s="5">
        <f t="shared" si="13"/>
        <v>6.5756727017195768E-3</v>
      </c>
      <c r="Z27" s="5">
        <f t="shared" si="14"/>
        <v>7.9343283730158726E-3</v>
      </c>
      <c r="AB27" s="75">
        <f t="shared" si="4"/>
        <v>0.12589864617394181</v>
      </c>
      <c r="AC27" s="75">
        <f t="shared" si="5"/>
        <v>9.4651355820105823E-2</v>
      </c>
      <c r="AD27" s="75">
        <f t="shared" si="7"/>
        <v>0.11955768548581049</v>
      </c>
      <c r="AE27" s="76">
        <f t="shared" si="8"/>
        <v>0.14426051587301586</v>
      </c>
      <c r="AF27" s="59"/>
    </row>
    <row r="28" spans="1:32" ht="32" x14ac:dyDescent="0.2">
      <c r="A28" s="9">
        <v>16</v>
      </c>
      <c r="C28" s="5" t="s">
        <v>549</v>
      </c>
      <c r="D28" s="71" t="s">
        <v>138</v>
      </c>
      <c r="E28" s="5" t="s">
        <v>505</v>
      </c>
      <c r="F28" s="5" t="s">
        <v>507</v>
      </c>
      <c r="G28" s="5">
        <v>81</v>
      </c>
      <c r="H28" s="5" t="s">
        <v>508</v>
      </c>
      <c r="I28" s="5" t="s">
        <v>690</v>
      </c>
      <c r="K28" s="71">
        <v>294025.10842200002</v>
      </c>
      <c r="L28" s="5">
        <v>176309.1</v>
      </c>
      <c r="M28" s="5">
        <v>11436.855</v>
      </c>
      <c r="N28" s="72">
        <v>9749.6258999999991</v>
      </c>
      <c r="P28" s="71">
        <v>2000</v>
      </c>
      <c r="Q28" s="5">
        <v>30</v>
      </c>
      <c r="R28" s="5">
        <v>30</v>
      </c>
      <c r="S28" s="5">
        <f t="shared" ref="S28:S35" si="15">R28*Q28*P28</f>
        <v>1800000</v>
      </c>
      <c r="T28" s="5">
        <f t="shared" si="6"/>
        <v>6480000</v>
      </c>
      <c r="W28" s="5">
        <f t="shared" si="11"/>
        <v>4.5374245126851856E-2</v>
      </c>
      <c r="X28" s="5">
        <f t="shared" si="12"/>
        <v>2.7208194444444445E-2</v>
      </c>
      <c r="Y28" s="5">
        <f t="shared" si="13"/>
        <v>1.504571898148148E-3</v>
      </c>
      <c r="Z28" s="5">
        <f t="shared" si="14"/>
        <v>1.7649467592592593E-3</v>
      </c>
      <c r="AB28" s="75">
        <f t="shared" si="4"/>
        <v>4.5374245126851856E-2</v>
      </c>
      <c r="AC28" s="75">
        <f t="shared" si="5"/>
        <v>2.7208194444444445E-2</v>
      </c>
      <c r="AD28" s="75">
        <f t="shared" si="7"/>
        <v>2.7355852693602689E-2</v>
      </c>
      <c r="AE28" s="76">
        <f t="shared" si="8"/>
        <v>3.2089941077441078E-2</v>
      </c>
      <c r="AF28" s="59"/>
    </row>
    <row r="29" spans="1:32" ht="32" x14ac:dyDescent="0.2">
      <c r="A29" s="9">
        <v>17</v>
      </c>
      <c r="C29" s="5" t="s">
        <v>550</v>
      </c>
      <c r="D29" s="71" t="s">
        <v>207</v>
      </c>
      <c r="E29" s="5" t="s">
        <v>551</v>
      </c>
      <c r="F29" s="5" t="s">
        <v>507</v>
      </c>
      <c r="G29" s="5">
        <v>2</v>
      </c>
      <c r="H29" s="5" t="s">
        <v>515</v>
      </c>
      <c r="I29" s="5" t="s">
        <v>691</v>
      </c>
      <c r="K29" s="71">
        <v>19245346.915799998</v>
      </c>
      <c r="L29" s="5">
        <v>12393755</v>
      </c>
      <c r="M29" s="5">
        <v>877535.61</v>
      </c>
      <c r="N29" s="72">
        <v>746195.99</v>
      </c>
      <c r="P29" s="71">
        <v>2000</v>
      </c>
      <c r="Q29" s="5">
        <v>30</v>
      </c>
      <c r="R29" s="5">
        <v>2000</v>
      </c>
      <c r="S29" s="5">
        <f t="shared" si="15"/>
        <v>120000000</v>
      </c>
      <c r="T29" s="5">
        <f t="shared" si="6"/>
        <v>432000000</v>
      </c>
      <c r="W29" s="5">
        <f t="shared" si="11"/>
        <v>4.4549414156944439E-2</v>
      </c>
      <c r="X29" s="5">
        <f t="shared" si="12"/>
        <v>2.8689247685185184E-2</v>
      </c>
      <c r="Y29" s="5">
        <f t="shared" si="13"/>
        <v>1.7273055324074074E-3</v>
      </c>
      <c r="Z29" s="5">
        <f t="shared" si="14"/>
        <v>2.0313324305555555E-3</v>
      </c>
      <c r="AB29" s="75">
        <f t="shared" si="4"/>
        <v>4.4549414156944439E-2</v>
      </c>
      <c r="AC29" s="75">
        <f t="shared" si="5"/>
        <v>2.8689247685185184E-2</v>
      </c>
      <c r="AD29" s="75">
        <f t="shared" si="7"/>
        <v>3.1405555134680137E-2</v>
      </c>
      <c r="AE29" s="76">
        <f t="shared" si="8"/>
        <v>3.6933316919191918E-2</v>
      </c>
      <c r="AF29" s="59"/>
    </row>
    <row r="30" spans="1:32" ht="32" x14ac:dyDescent="0.2">
      <c r="A30" s="9"/>
      <c r="D30" s="71"/>
      <c r="E30" s="5" t="s">
        <v>552</v>
      </c>
      <c r="F30" s="5" t="s">
        <v>507</v>
      </c>
      <c r="G30" s="5">
        <v>2</v>
      </c>
      <c r="H30" s="5" t="s">
        <v>515</v>
      </c>
      <c r="I30" s="5" t="s">
        <v>691</v>
      </c>
      <c r="K30" s="71">
        <v>10652027.910599999</v>
      </c>
      <c r="L30" s="5">
        <v>8215527.7999999998</v>
      </c>
      <c r="M30" s="5">
        <v>748545.26</v>
      </c>
      <c r="N30" s="72">
        <v>663897.1</v>
      </c>
      <c r="P30" s="71">
        <v>2000</v>
      </c>
      <c r="Q30" s="5">
        <v>30</v>
      </c>
      <c r="R30" s="5">
        <v>2000</v>
      </c>
      <c r="S30" s="5">
        <f t="shared" si="15"/>
        <v>120000000</v>
      </c>
      <c r="T30" s="5">
        <f t="shared" si="6"/>
        <v>432000000</v>
      </c>
      <c r="W30" s="5">
        <f t="shared" si="11"/>
        <v>2.4657472015277775E-2</v>
      </c>
      <c r="X30" s="5">
        <f t="shared" si="12"/>
        <v>1.9017425462962964E-2</v>
      </c>
      <c r="Y30" s="5">
        <f t="shared" si="13"/>
        <v>1.5367988425925925E-3</v>
      </c>
      <c r="Z30" s="5">
        <f t="shared" si="14"/>
        <v>1.7327436574074075E-3</v>
      </c>
      <c r="AB30" s="75">
        <f t="shared" si="4"/>
        <v>2.4657472015277775E-2</v>
      </c>
      <c r="AC30" s="75">
        <f t="shared" si="5"/>
        <v>1.9017425462962964E-2</v>
      </c>
      <c r="AD30" s="75">
        <f t="shared" si="7"/>
        <v>2.7941797138047137E-2</v>
      </c>
      <c r="AE30" s="76">
        <f t="shared" si="8"/>
        <v>3.1504430134680135E-2</v>
      </c>
      <c r="AF30" s="59"/>
    </row>
    <row r="31" spans="1:32" ht="32" x14ac:dyDescent="0.2">
      <c r="A31" s="9">
        <v>18</v>
      </c>
      <c r="C31" s="5" t="s">
        <v>553</v>
      </c>
      <c r="D31" s="71" t="s">
        <v>207</v>
      </c>
      <c r="E31" s="5" t="s">
        <v>554</v>
      </c>
      <c r="F31" s="5" t="s">
        <v>507</v>
      </c>
      <c r="G31" s="5">
        <v>800</v>
      </c>
      <c r="H31" s="5" t="s">
        <v>514</v>
      </c>
      <c r="I31" s="5" t="s">
        <v>692</v>
      </c>
      <c r="K31" s="71">
        <v>5146260.98061</v>
      </c>
      <c r="L31" s="5">
        <v>3254710.5</v>
      </c>
      <c r="M31" s="5">
        <v>229124.32</v>
      </c>
      <c r="N31" s="72">
        <v>195145.11</v>
      </c>
      <c r="P31" s="71">
        <v>2000</v>
      </c>
      <c r="Q31" s="5">
        <v>30</v>
      </c>
      <c r="R31" s="5">
        <v>800</v>
      </c>
      <c r="S31" s="5">
        <f t="shared" si="15"/>
        <v>48000000</v>
      </c>
      <c r="T31" s="5">
        <f t="shared" si="6"/>
        <v>172800000</v>
      </c>
      <c r="W31" s="5">
        <f t="shared" si="11"/>
        <v>2.978160289704861E-2</v>
      </c>
      <c r="X31" s="5">
        <f t="shared" si="12"/>
        <v>1.8835130208333332E-2</v>
      </c>
      <c r="Y31" s="5">
        <f t="shared" si="13"/>
        <v>1.1293119791666666E-3</v>
      </c>
      <c r="Z31" s="5">
        <f t="shared" si="14"/>
        <v>1.325950925925926E-3</v>
      </c>
      <c r="AB31" s="75">
        <f t="shared" si="4"/>
        <v>2.978160289704861E-2</v>
      </c>
      <c r="AC31" s="75">
        <f t="shared" si="5"/>
        <v>1.8835130208333332E-2</v>
      </c>
      <c r="AD31" s="75">
        <f t="shared" si="7"/>
        <v>2.0532945075757574E-2</v>
      </c>
      <c r="AE31" s="76">
        <f t="shared" si="8"/>
        <v>2.4108198653198656E-2</v>
      </c>
      <c r="AF31" s="59"/>
    </row>
    <row r="32" spans="1:32" ht="32" x14ac:dyDescent="0.2">
      <c r="A32" s="9"/>
      <c r="D32" s="71"/>
      <c r="E32" s="5" t="s">
        <v>555</v>
      </c>
      <c r="F32" s="5" t="s">
        <v>507</v>
      </c>
      <c r="G32" s="5">
        <v>800</v>
      </c>
      <c r="H32" s="5" t="s">
        <v>514</v>
      </c>
      <c r="I32" s="5" t="s">
        <v>693</v>
      </c>
      <c r="K32" s="71">
        <v>3659748.7619500002</v>
      </c>
      <c r="L32" s="5">
        <v>2886682.2</v>
      </c>
      <c r="M32" s="5">
        <v>222618.66</v>
      </c>
      <c r="N32" s="72">
        <v>194109.67</v>
      </c>
      <c r="P32" s="71">
        <v>2000</v>
      </c>
      <c r="Q32" s="5">
        <v>30</v>
      </c>
      <c r="R32" s="5">
        <v>800</v>
      </c>
      <c r="S32" s="5">
        <f t="shared" si="15"/>
        <v>48000000</v>
      </c>
      <c r="T32" s="5">
        <f t="shared" si="6"/>
        <v>172800000</v>
      </c>
      <c r="W32" s="5">
        <f t="shared" si="11"/>
        <v>2.1179101631655095E-2</v>
      </c>
      <c r="X32" s="5">
        <f t="shared" si="12"/>
        <v>1.6705336805555557E-2</v>
      </c>
      <c r="Y32" s="5">
        <f t="shared" si="13"/>
        <v>1.1233198495370371E-3</v>
      </c>
      <c r="Z32" s="5">
        <f t="shared" si="14"/>
        <v>1.2883024305555555E-3</v>
      </c>
      <c r="AB32" s="75">
        <f t="shared" si="4"/>
        <v>2.1179101631655095E-2</v>
      </c>
      <c r="AC32" s="75">
        <f t="shared" si="5"/>
        <v>1.6705336805555557E-2</v>
      </c>
      <c r="AD32" s="75">
        <f t="shared" si="7"/>
        <v>2.0423997264309764E-2</v>
      </c>
      <c r="AE32" s="76">
        <f t="shared" si="8"/>
        <v>2.3423680555555555E-2</v>
      </c>
      <c r="AF32" s="59"/>
    </row>
    <row r="33" spans="1:33" ht="48" x14ac:dyDescent="0.2">
      <c r="A33" s="9">
        <v>19</v>
      </c>
      <c r="C33" s="5" t="s">
        <v>556</v>
      </c>
      <c r="D33" s="71" t="s">
        <v>207</v>
      </c>
      <c r="E33" s="5" t="s">
        <v>557</v>
      </c>
      <c r="F33" s="5" t="s">
        <v>507</v>
      </c>
      <c r="G33" s="5">
        <v>95</v>
      </c>
      <c r="H33" s="5" t="s">
        <v>515</v>
      </c>
      <c r="I33" s="5" t="s">
        <v>694</v>
      </c>
      <c r="K33" s="71">
        <v>2435620894.5900002</v>
      </c>
      <c r="L33" s="5">
        <v>1372241500</v>
      </c>
      <c r="M33" s="5">
        <v>145262200</v>
      </c>
      <c r="N33" s="72">
        <v>131277960</v>
      </c>
      <c r="P33" s="71">
        <v>6000</v>
      </c>
      <c r="Q33" s="5">
        <v>80</v>
      </c>
      <c r="R33" s="5">
        <v>95000</v>
      </c>
      <c r="S33" s="5">
        <f t="shared" si="15"/>
        <v>45600000000</v>
      </c>
      <c r="T33" s="5">
        <f t="shared" si="6"/>
        <v>164160000000</v>
      </c>
      <c r="W33" s="5">
        <f t="shared" si="11"/>
        <v>1.4836871921235381E-2</v>
      </c>
      <c r="X33" s="5">
        <f t="shared" si="12"/>
        <v>8.3591709307992198E-3</v>
      </c>
      <c r="Y33" s="5">
        <f t="shared" si="13"/>
        <v>7.9969517543859649E-4</v>
      </c>
      <c r="Z33" s="5">
        <f t="shared" si="14"/>
        <v>8.8488182261208578E-4</v>
      </c>
      <c r="AB33" s="75">
        <f t="shared" si="4"/>
        <v>1.4836871921235381E-2</v>
      </c>
      <c r="AC33" s="75">
        <f t="shared" si="5"/>
        <v>8.3591709307992198E-3</v>
      </c>
      <c r="AD33" s="75">
        <f t="shared" si="7"/>
        <v>1.4539912280701754E-2</v>
      </c>
      <c r="AE33" s="76">
        <f t="shared" si="8"/>
        <v>1.6088760411128833E-2</v>
      </c>
      <c r="AF33" s="59"/>
    </row>
    <row r="34" spans="1:33" ht="48" x14ac:dyDescent="0.2">
      <c r="A34" s="9">
        <v>20</v>
      </c>
      <c r="C34" s="5" t="s">
        <v>559</v>
      </c>
      <c r="D34" s="71" t="s">
        <v>207</v>
      </c>
      <c r="E34" s="5" t="s">
        <v>558</v>
      </c>
      <c r="F34" s="5" t="s">
        <v>507</v>
      </c>
      <c r="G34" s="5">
        <v>8.6</v>
      </c>
      <c r="H34" s="5" t="s">
        <v>515</v>
      </c>
      <c r="I34" s="5" t="s">
        <v>695</v>
      </c>
      <c r="K34" s="71">
        <v>180989765.30599999</v>
      </c>
      <c r="L34" s="5">
        <v>127056330</v>
      </c>
      <c r="M34" s="5">
        <v>12056986</v>
      </c>
      <c r="N34" s="72">
        <v>10725949</v>
      </c>
      <c r="P34" s="71">
        <v>8000</v>
      </c>
      <c r="Q34" s="5">
        <v>40</v>
      </c>
      <c r="R34" s="5">
        <v>8600</v>
      </c>
      <c r="S34" s="5">
        <f t="shared" si="15"/>
        <v>2752000000</v>
      </c>
      <c r="T34" s="5">
        <f t="shared" si="6"/>
        <v>9907200000</v>
      </c>
      <c r="W34" s="5">
        <f t="shared" si="11"/>
        <v>1.8268508287508076E-2</v>
      </c>
      <c r="X34" s="5">
        <f t="shared" si="12"/>
        <v>1.2824645712209303E-2</v>
      </c>
      <c r="Y34" s="5">
        <f t="shared" si="13"/>
        <v>1.0826418160529716E-3</v>
      </c>
      <c r="Z34" s="5">
        <f t="shared" si="14"/>
        <v>1.2169922884366926E-3</v>
      </c>
      <c r="AB34" s="75">
        <f t="shared" si="4"/>
        <v>1.8268508287508076E-2</v>
      </c>
      <c r="AC34" s="75">
        <f t="shared" si="5"/>
        <v>1.2824645712209303E-2</v>
      </c>
      <c r="AD34" s="75">
        <f t="shared" si="7"/>
        <v>1.9684396655508574E-2</v>
      </c>
      <c r="AE34" s="76">
        <f t="shared" si="8"/>
        <v>2.2127132517030773E-2</v>
      </c>
      <c r="AF34" s="59"/>
    </row>
    <row r="35" spans="1:33" ht="48" x14ac:dyDescent="0.2">
      <c r="A35" s="9">
        <v>21</v>
      </c>
      <c r="C35" s="5" t="s">
        <v>135</v>
      </c>
      <c r="D35" s="71" t="s">
        <v>207</v>
      </c>
      <c r="E35" s="5" t="s">
        <v>510</v>
      </c>
      <c r="F35" s="5" t="s">
        <v>507</v>
      </c>
      <c r="G35" s="5">
        <v>5.5</v>
      </c>
      <c r="H35" s="5" t="s">
        <v>511</v>
      </c>
      <c r="K35" s="71">
        <v>2290954758.4099998</v>
      </c>
      <c r="L35" s="5">
        <v>1727061000</v>
      </c>
      <c r="M35" s="5">
        <v>132830470</v>
      </c>
      <c r="N35" s="72">
        <v>117007120</v>
      </c>
      <c r="P35" s="71">
        <v>8000</v>
      </c>
      <c r="Q35" s="5">
        <v>30</v>
      </c>
      <c r="R35" s="5">
        <f>5500/0.15</f>
        <v>36666.666666666672</v>
      </c>
      <c r="S35" s="5">
        <f t="shared" si="15"/>
        <v>8800000000.0000019</v>
      </c>
      <c r="T35" s="5">
        <f t="shared" si="6"/>
        <v>31680000000.000008</v>
      </c>
      <c r="W35" s="5">
        <f t="shared" si="11"/>
        <v>7.2315491111426752E-2</v>
      </c>
      <c r="X35" s="5">
        <f t="shared" si="12"/>
        <v>5.4515814393939384E-2</v>
      </c>
      <c r="Y35" s="5">
        <f t="shared" si="13"/>
        <v>3.6934065656565648E-3</v>
      </c>
      <c r="Z35" s="5">
        <f t="shared" si="14"/>
        <v>4.1928809974747464E-3</v>
      </c>
      <c r="AB35" s="75">
        <f t="shared" si="4"/>
        <v>7.2315491111426752E-2</v>
      </c>
      <c r="AC35" s="75">
        <f t="shared" si="5"/>
        <v>5.4515814393939384E-2</v>
      </c>
      <c r="AD35" s="75">
        <f t="shared" si="7"/>
        <v>6.7152846648301179E-2</v>
      </c>
      <c r="AE35" s="76">
        <f t="shared" si="8"/>
        <v>7.6234199954086299E-2</v>
      </c>
      <c r="AF35" s="59"/>
    </row>
    <row r="36" spans="1:33" ht="16" x14ac:dyDescent="0.2">
      <c r="A36" s="9">
        <v>22</v>
      </c>
      <c r="D36" s="71"/>
      <c r="E36" s="5" t="s">
        <v>506</v>
      </c>
      <c r="F36" s="5" t="s">
        <v>508</v>
      </c>
      <c r="K36" s="71">
        <v>6847.1441642999989</v>
      </c>
      <c r="L36" s="5">
        <v>5646.9805999999999</v>
      </c>
      <c r="M36" s="5">
        <v>295.68142</v>
      </c>
      <c r="N36" s="72">
        <v>254.69484</v>
      </c>
      <c r="P36" s="71">
        <v>2000</v>
      </c>
      <c r="Q36" s="5">
        <v>50</v>
      </c>
      <c r="R36" s="5">
        <f>10</f>
        <v>10</v>
      </c>
      <c r="S36" s="5">
        <f>R36*Q36*P36</f>
        <v>1000000</v>
      </c>
      <c r="T36" s="5">
        <f t="shared" si="6"/>
        <v>3600000</v>
      </c>
      <c r="U36" s="5">
        <v>180</v>
      </c>
      <c r="W36" s="5">
        <f t="shared" ref="W36:X38" si="16">K36*$U36/$T36</f>
        <v>0.34235720821499993</v>
      </c>
      <c r="X36" s="5">
        <f t="shared" si="16"/>
        <v>0.28234903</v>
      </c>
      <c r="Y36" s="5">
        <f>N36*$U36/$T36</f>
        <v>1.2734742E-2</v>
      </c>
      <c r="Z36" s="5">
        <f>M36*$U36/$T36</f>
        <v>1.4784070999999999E-2</v>
      </c>
      <c r="AB36" s="75">
        <f t="shared" si="4"/>
        <v>0.34235720821499993</v>
      </c>
      <c r="AC36" s="75">
        <f t="shared" si="5"/>
        <v>0.28234903</v>
      </c>
      <c r="AD36" s="75">
        <f t="shared" si="7"/>
        <v>0.23154076363636364</v>
      </c>
      <c r="AE36" s="76">
        <f t="shared" si="8"/>
        <v>0.26880129090909088</v>
      </c>
      <c r="AF36" s="59"/>
    </row>
    <row r="37" spans="1:33" ht="48" x14ac:dyDescent="0.2">
      <c r="A37" s="9">
        <v>23</v>
      </c>
      <c r="D37" s="71"/>
      <c r="E37" s="5" t="s">
        <v>509</v>
      </c>
      <c r="F37" s="5" t="s">
        <v>508</v>
      </c>
      <c r="I37" s="5" t="s">
        <v>696</v>
      </c>
      <c r="K37" s="71">
        <v>5440.8606865800002</v>
      </c>
      <c r="L37" s="5">
        <v>4294.7096000000001</v>
      </c>
      <c r="M37" s="5">
        <v>343.52012999999999</v>
      </c>
      <c r="N37" s="72">
        <v>297.54297000000003</v>
      </c>
      <c r="P37" s="71">
        <v>2000</v>
      </c>
      <c r="Q37" s="5">
        <v>80</v>
      </c>
      <c r="R37" s="5">
        <f>150</f>
        <v>150</v>
      </c>
      <c r="S37" s="5">
        <f t="shared" ref="S37:S38" si="17">R37*Q37*P37</f>
        <v>24000000</v>
      </c>
      <c r="T37" s="5">
        <f t="shared" si="6"/>
        <v>86400000</v>
      </c>
      <c r="U37" s="5">
        <v>800</v>
      </c>
      <c r="W37" s="5">
        <f t="shared" si="16"/>
        <v>5.0378339690555551E-2</v>
      </c>
      <c r="X37" s="5">
        <f t="shared" si="16"/>
        <v>3.9765829629629629E-2</v>
      </c>
      <c r="Y37" s="5">
        <f>N37*$U37/$T37</f>
        <v>2.7550275000000003E-3</v>
      </c>
      <c r="Z37" s="5">
        <f>M37*$U37/$T37</f>
        <v>3.1807419444444445E-3</v>
      </c>
      <c r="AB37" s="75">
        <f t="shared" si="4"/>
        <v>5.0378339690555551E-2</v>
      </c>
      <c r="AC37" s="75">
        <f t="shared" si="5"/>
        <v>3.9765829629629629E-2</v>
      </c>
      <c r="AD37" s="75">
        <f t="shared" si="7"/>
        <v>5.0091409090909096E-2</v>
      </c>
      <c r="AE37" s="76">
        <f t="shared" si="8"/>
        <v>5.7831671717171719E-2</v>
      </c>
      <c r="AF37" s="59"/>
    </row>
    <row r="38" spans="1:33" ht="48" x14ac:dyDescent="0.2">
      <c r="A38" s="9">
        <v>24</v>
      </c>
      <c r="D38" s="77"/>
      <c r="E38" s="78" t="s">
        <v>560</v>
      </c>
      <c r="F38" s="78" t="s">
        <v>206</v>
      </c>
      <c r="G38" s="78"/>
      <c r="H38" s="78"/>
      <c r="I38" s="78" t="s">
        <v>697</v>
      </c>
      <c r="J38" s="78"/>
      <c r="K38" s="77">
        <v>4698.2074264100002</v>
      </c>
      <c r="L38" s="78">
        <v>3013.7118</v>
      </c>
      <c r="M38" s="78">
        <v>186.25764000000001</v>
      </c>
      <c r="N38" s="81">
        <v>164.78234</v>
      </c>
      <c r="P38" s="77">
        <v>2000</v>
      </c>
      <c r="Q38" s="78">
        <v>80</v>
      </c>
      <c r="R38" s="78">
        <f>200</f>
        <v>200</v>
      </c>
      <c r="S38" s="78">
        <f t="shared" si="17"/>
        <v>32000000</v>
      </c>
      <c r="T38" s="78">
        <f t="shared" si="6"/>
        <v>115200000</v>
      </c>
      <c r="U38" s="78">
        <v>1500</v>
      </c>
      <c r="V38" s="78"/>
      <c r="W38" s="78">
        <f t="shared" si="16"/>
        <v>6.1174575864713546E-2</v>
      </c>
      <c r="X38" s="78">
        <f t="shared" si="16"/>
        <v>3.9241039062500004E-2</v>
      </c>
      <c r="Y38" s="78">
        <f>N38*$U38/$T38</f>
        <v>2.1456033854166667E-3</v>
      </c>
      <c r="Z38" s="78">
        <f>M38*$U38/$T38</f>
        <v>2.4252296875000002E-3</v>
      </c>
      <c r="AA38" s="78"/>
      <c r="AB38" s="79">
        <f t="shared" si="4"/>
        <v>6.1174575864713546E-2</v>
      </c>
      <c r="AC38" s="79">
        <f t="shared" si="5"/>
        <v>3.9241039062500004E-2</v>
      </c>
      <c r="AD38" s="79">
        <f t="shared" si="7"/>
        <v>3.9010970643939394E-2</v>
      </c>
      <c r="AE38" s="80">
        <f t="shared" si="8"/>
        <v>4.4095085227272728E-2</v>
      </c>
      <c r="AF38" s="59"/>
    </row>
    <row r="39" spans="1:33" x14ac:dyDescent="0.2">
      <c r="AC39" s="59"/>
      <c r="AD39" s="59"/>
      <c r="AE39" s="59"/>
      <c r="AF39" s="59"/>
      <c r="AG39" s="59"/>
    </row>
    <row r="41" spans="1:33" ht="112" x14ac:dyDescent="0.2">
      <c r="A41" s="60" t="s">
        <v>702</v>
      </c>
      <c r="B41" s="61"/>
      <c r="C41" s="62">
        <v>6000000000</v>
      </c>
      <c r="D41" s="61" t="s">
        <v>667</v>
      </c>
      <c r="E41" s="63" t="s">
        <v>671</v>
      </c>
    </row>
    <row r="42" spans="1:33" ht="16" x14ac:dyDescent="0.2">
      <c r="A42" s="64"/>
      <c r="B42" s="31"/>
      <c r="C42" s="65">
        <f>30*24</f>
        <v>720</v>
      </c>
      <c r="D42" s="31" t="s">
        <v>668</v>
      </c>
      <c r="E42" s="66"/>
    </row>
    <row r="43" spans="1:33" ht="16" x14ac:dyDescent="0.2">
      <c r="A43" s="64"/>
      <c r="B43" s="31" t="s">
        <v>703</v>
      </c>
      <c r="C43" s="65">
        <v>0.5</v>
      </c>
      <c r="D43" s="31"/>
      <c r="E43" s="66"/>
    </row>
    <row r="44" spans="1:33" ht="16" x14ac:dyDescent="0.2">
      <c r="A44" s="64"/>
      <c r="B44" s="31"/>
      <c r="C44" s="65">
        <f>C41/(C42*C43)</f>
        <v>16666666.666666666</v>
      </c>
      <c r="D44" s="31" t="s">
        <v>669</v>
      </c>
      <c r="E44" s="66"/>
    </row>
    <row r="45" spans="1:33" ht="32" x14ac:dyDescent="0.2">
      <c r="A45" s="64"/>
      <c r="B45" s="31" t="s">
        <v>704</v>
      </c>
      <c r="C45" s="65">
        <v>250000</v>
      </c>
      <c r="D45" s="31"/>
      <c r="E45" s="66" t="s">
        <v>670</v>
      </c>
    </row>
    <row r="46" spans="1:33" ht="32" x14ac:dyDescent="0.2">
      <c r="A46" s="67"/>
      <c r="B46" s="68" t="s">
        <v>705</v>
      </c>
      <c r="C46" s="69">
        <f>C44/C45</f>
        <v>66.666666666666657</v>
      </c>
      <c r="D46" s="68" t="s">
        <v>672</v>
      </c>
      <c r="E46" s="70"/>
    </row>
  </sheetData>
  <mergeCells count="5">
    <mergeCell ref="P4:AE4"/>
    <mergeCell ref="P5:U5"/>
    <mergeCell ref="W5:AE5"/>
    <mergeCell ref="D1:AE1"/>
    <mergeCell ref="D4:N4"/>
  </mergeCells>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133"/>
  <sheetViews>
    <sheetView topLeftCell="A57" zoomScaleNormal="100" workbookViewId="0">
      <pane xSplit="2" topLeftCell="C1" activePane="topRight" state="frozen"/>
      <selection activeCell="A44" sqref="A44"/>
      <selection pane="topRight" activeCell="BB79" sqref="BB79"/>
    </sheetView>
  </sheetViews>
  <sheetFormatPr baseColWidth="10" defaultColWidth="8.6640625" defaultRowHeight="15" x14ac:dyDescent="0.2"/>
  <cols>
    <col min="1" max="1" width="35.1640625" customWidth="1"/>
    <col min="3" max="3" width="10.6640625" bestFit="1" customWidth="1"/>
  </cols>
  <sheetData>
    <row r="2" spans="1:2" x14ac:dyDescent="0.2">
      <c r="A2" t="s">
        <v>0</v>
      </c>
      <c r="B2" t="s">
        <v>1</v>
      </c>
    </row>
    <row r="3" spans="1:2" x14ac:dyDescent="0.2">
      <c r="A3" t="s">
        <v>2</v>
      </c>
      <c r="B3" t="s">
        <v>3</v>
      </c>
    </row>
    <row r="4" spans="1:2" x14ac:dyDescent="0.2">
      <c r="A4" t="s">
        <v>4</v>
      </c>
      <c r="B4" t="s">
        <v>601</v>
      </c>
    </row>
    <row r="5" spans="1:2" x14ac:dyDescent="0.2">
      <c r="A5" t="s">
        <v>5</v>
      </c>
      <c r="B5" t="s">
        <v>602</v>
      </c>
    </row>
    <row r="6" spans="1:2" x14ac:dyDescent="0.2">
      <c r="A6" t="s">
        <v>6</v>
      </c>
      <c r="B6" t="s">
        <v>603</v>
      </c>
    </row>
    <row r="7" spans="1:2" x14ac:dyDescent="0.2">
      <c r="A7" t="s">
        <v>7</v>
      </c>
      <c r="B7" t="s">
        <v>604</v>
      </c>
    </row>
    <row r="8" spans="1:2" x14ac:dyDescent="0.2">
      <c r="A8" t="s">
        <v>8</v>
      </c>
      <c r="B8" t="s">
        <v>605</v>
      </c>
    </row>
    <row r="9" spans="1:2" x14ac:dyDescent="0.2">
      <c r="A9" t="s">
        <v>10</v>
      </c>
      <c r="B9" t="s">
        <v>606</v>
      </c>
    </row>
    <row r="10" spans="1:2" x14ac:dyDescent="0.2">
      <c r="A10" t="s">
        <v>11</v>
      </c>
      <c r="B10" t="s">
        <v>607</v>
      </c>
    </row>
    <row r="11" spans="1:2" x14ac:dyDescent="0.2">
      <c r="A11" t="s">
        <v>13</v>
      </c>
      <c r="B11" t="s">
        <v>608</v>
      </c>
    </row>
    <row r="12" spans="1:2" x14ac:dyDescent="0.2">
      <c r="A12" t="s">
        <v>15</v>
      </c>
      <c r="B12" t="s">
        <v>609</v>
      </c>
    </row>
    <row r="13" spans="1:2" x14ac:dyDescent="0.2">
      <c r="A13" t="s">
        <v>17</v>
      </c>
      <c r="B13" t="s">
        <v>610</v>
      </c>
    </row>
    <row r="14" spans="1:2" x14ac:dyDescent="0.2">
      <c r="A14" t="s">
        <v>18</v>
      </c>
      <c r="B14" t="s">
        <v>611</v>
      </c>
    </row>
    <row r="15" spans="1:2" x14ac:dyDescent="0.2">
      <c r="A15" t="s">
        <v>19</v>
      </c>
      <c r="B15" t="s">
        <v>612</v>
      </c>
    </row>
    <row r="16" spans="1:2" x14ac:dyDescent="0.2">
      <c r="A16" t="s">
        <v>20</v>
      </c>
      <c r="B16" t="s">
        <v>613</v>
      </c>
    </row>
    <row r="17" spans="1:2" x14ac:dyDescent="0.2">
      <c r="A17" t="s">
        <v>21</v>
      </c>
      <c r="B17" t="s">
        <v>614</v>
      </c>
    </row>
    <row r="18" spans="1:2" x14ac:dyDescent="0.2">
      <c r="A18" t="s">
        <v>22</v>
      </c>
      <c r="B18" t="s">
        <v>615</v>
      </c>
    </row>
    <row r="19" spans="1:2" x14ac:dyDescent="0.2">
      <c r="A19" t="s">
        <v>23</v>
      </c>
      <c r="B19" t="s">
        <v>616</v>
      </c>
    </row>
    <row r="20" spans="1:2" x14ac:dyDescent="0.2">
      <c r="A20" t="s">
        <v>24</v>
      </c>
      <c r="B20" t="s">
        <v>617</v>
      </c>
    </row>
    <row r="21" spans="1:2" x14ac:dyDescent="0.2">
      <c r="A21" t="s">
        <v>25</v>
      </c>
      <c r="B21" t="s">
        <v>618</v>
      </c>
    </row>
    <row r="22" spans="1:2" x14ac:dyDescent="0.2">
      <c r="A22" t="s">
        <v>26</v>
      </c>
      <c r="B22" t="s">
        <v>619</v>
      </c>
    </row>
    <row r="23" spans="1:2" x14ac:dyDescent="0.2">
      <c r="A23" t="s">
        <v>27</v>
      </c>
      <c r="B23" t="s">
        <v>620</v>
      </c>
    </row>
    <row r="24" spans="1:2" x14ac:dyDescent="0.2">
      <c r="A24" t="s">
        <v>29</v>
      </c>
      <c r="B24" t="s">
        <v>621</v>
      </c>
    </row>
    <row r="25" spans="1:2" x14ac:dyDescent="0.2">
      <c r="A25" t="s">
        <v>31</v>
      </c>
      <c r="B25" t="s">
        <v>622</v>
      </c>
    </row>
    <row r="26" spans="1:2" x14ac:dyDescent="0.2">
      <c r="A26" t="s">
        <v>33</v>
      </c>
      <c r="B26" t="s">
        <v>623</v>
      </c>
    </row>
    <row r="27" spans="1:2" x14ac:dyDescent="0.2">
      <c r="A27" t="s">
        <v>34</v>
      </c>
      <c r="B27" t="s">
        <v>624</v>
      </c>
    </row>
    <row r="28" spans="1:2" x14ac:dyDescent="0.2">
      <c r="A28" t="s">
        <v>36</v>
      </c>
      <c r="B28" t="s">
        <v>625</v>
      </c>
    </row>
    <row r="29" spans="1:2" x14ac:dyDescent="0.2">
      <c r="A29" t="s">
        <v>37</v>
      </c>
      <c r="B29" t="s">
        <v>626</v>
      </c>
    </row>
    <row r="30" spans="1:2" x14ac:dyDescent="0.2">
      <c r="A30" t="s">
        <v>39</v>
      </c>
      <c r="B30" t="s">
        <v>627</v>
      </c>
    </row>
    <row r="31" spans="1:2" x14ac:dyDescent="0.2">
      <c r="A31" t="s">
        <v>41</v>
      </c>
      <c r="B31" t="s">
        <v>42</v>
      </c>
    </row>
    <row r="32" spans="1:2" x14ac:dyDescent="0.2">
      <c r="A32" t="s">
        <v>43</v>
      </c>
      <c r="B32" t="s">
        <v>628</v>
      </c>
    </row>
    <row r="33" spans="1:2" x14ac:dyDescent="0.2">
      <c r="A33" t="s">
        <v>44</v>
      </c>
      <c r="B33" t="s">
        <v>629</v>
      </c>
    </row>
    <row r="34" spans="1:2" x14ac:dyDescent="0.2">
      <c r="A34" t="s">
        <v>46</v>
      </c>
      <c r="B34" t="s">
        <v>630</v>
      </c>
    </row>
    <row r="35" spans="1:2" x14ac:dyDescent="0.2">
      <c r="A35" t="s">
        <v>47</v>
      </c>
      <c r="B35" t="s">
        <v>631</v>
      </c>
    </row>
    <row r="36" spans="1:2" x14ac:dyDescent="0.2">
      <c r="A36" t="s">
        <v>49</v>
      </c>
      <c r="B36" t="s">
        <v>239</v>
      </c>
    </row>
    <row r="37" spans="1:2" x14ac:dyDescent="0.2">
      <c r="A37" t="s">
        <v>50</v>
      </c>
      <c r="B37" t="s">
        <v>632</v>
      </c>
    </row>
    <row r="38" spans="1:2" x14ac:dyDescent="0.2">
      <c r="A38" t="s">
        <v>51</v>
      </c>
      <c r="B38" t="s">
        <v>633</v>
      </c>
    </row>
    <row r="39" spans="1:2" x14ac:dyDescent="0.2">
      <c r="A39" t="s">
        <v>53</v>
      </c>
      <c r="B39" t="s">
        <v>634</v>
      </c>
    </row>
    <row r="40" spans="1:2" x14ac:dyDescent="0.2">
      <c r="A40" t="s">
        <v>55</v>
      </c>
      <c r="B40" t="s">
        <v>635</v>
      </c>
    </row>
    <row r="41" spans="1:2" x14ac:dyDescent="0.2">
      <c r="A41" t="s">
        <v>57</v>
      </c>
      <c r="B41" t="s">
        <v>636</v>
      </c>
    </row>
    <row r="42" spans="1:2" x14ac:dyDescent="0.2">
      <c r="A42" t="s">
        <v>59</v>
      </c>
      <c r="B42" t="s">
        <v>637</v>
      </c>
    </row>
    <row r="43" spans="1:2" x14ac:dyDescent="0.2">
      <c r="A43" t="s">
        <v>60</v>
      </c>
      <c r="B43" t="s">
        <v>638</v>
      </c>
    </row>
    <row r="44" spans="1:2" x14ac:dyDescent="0.2">
      <c r="A44" t="s">
        <v>61</v>
      </c>
      <c r="B44" t="s">
        <v>639</v>
      </c>
    </row>
    <row r="45" spans="1:2" x14ac:dyDescent="0.2">
      <c r="A45" t="s">
        <v>63</v>
      </c>
      <c r="B45" t="s">
        <v>640</v>
      </c>
    </row>
    <row r="46" spans="1:2" x14ac:dyDescent="0.2">
      <c r="A46" t="s">
        <v>65</v>
      </c>
      <c r="B46" t="s">
        <v>641</v>
      </c>
    </row>
    <row r="47" spans="1:2" x14ac:dyDescent="0.2">
      <c r="A47" t="s">
        <v>67</v>
      </c>
      <c r="B47" t="s">
        <v>642</v>
      </c>
    </row>
    <row r="48" spans="1:2" x14ac:dyDescent="0.2">
      <c r="A48" t="s">
        <v>68</v>
      </c>
      <c r="B48" t="s">
        <v>643</v>
      </c>
    </row>
    <row r="49" spans="1:2" x14ac:dyDescent="0.2">
      <c r="A49" t="s">
        <v>69</v>
      </c>
      <c r="B49" t="s">
        <v>644</v>
      </c>
    </row>
    <row r="50" spans="1:2" x14ac:dyDescent="0.2">
      <c r="A50" t="s">
        <v>70</v>
      </c>
      <c r="B50" t="s">
        <v>645</v>
      </c>
    </row>
    <row r="51" spans="1:2" x14ac:dyDescent="0.2">
      <c r="A51" t="s">
        <v>71</v>
      </c>
      <c r="B51" t="s">
        <v>646</v>
      </c>
    </row>
    <row r="52" spans="1:2" x14ac:dyDescent="0.2">
      <c r="A52" t="s">
        <v>73</v>
      </c>
      <c r="B52" t="s">
        <v>72</v>
      </c>
    </row>
    <row r="53" spans="1:2" x14ac:dyDescent="0.2">
      <c r="A53" t="s">
        <v>227</v>
      </c>
      <c r="B53" t="s">
        <v>647</v>
      </c>
    </row>
    <row r="54" spans="1:2" x14ac:dyDescent="0.2">
      <c r="A54" t="s">
        <v>648</v>
      </c>
      <c r="B54" t="s">
        <v>649</v>
      </c>
    </row>
    <row r="55" spans="1:2" x14ac:dyDescent="0.2">
      <c r="A55" t="s">
        <v>650</v>
      </c>
      <c r="B55" t="s">
        <v>651</v>
      </c>
    </row>
    <row r="56" spans="1:2" x14ac:dyDescent="0.2">
      <c r="A56" t="s">
        <v>75</v>
      </c>
      <c r="B56" t="s">
        <v>76</v>
      </c>
    </row>
    <row r="57" spans="1:2" x14ac:dyDescent="0.2">
      <c r="A57" t="s">
        <v>77</v>
      </c>
      <c r="B57" t="s">
        <v>78</v>
      </c>
    </row>
    <row r="58" spans="1:2" x14ac:dyDescent="0.2">
      <c r="A58" t="s">
        <v>79</v>
      </c>
      <c r="B58" t="s">
        <v>228</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x14ac:dyDescent="0.2">
      <c r="A65" t="s">
        <v>87</v>
      </c>
      <c r="B65" t="s">
        <v>90</v>
      </c>
      <c r="C65" t="s">
        <v>91</v>
      </c>
      <c r="D65" t="s">
        <v>92</v>
      </c>
      <c r="E65" t="s">
        <v>93</v>
      </c>
      <c r="F65" t="s">
        <v>94</v>
      </c>
      <c r="G65" t="s">
        <v>95</v>
      </c>
      <c r="H65" t="s">
        <v>229</v>
      </c>
      <c r="I65" t="s">
        <v>96</v>
      </c>
      <c r="J65" t="s">
        <v>97</v>
      </c>
      <c r="K65" t="s">
        <v>98</v>
      </c>
      <c r="L65" t="s">
        <v>99</v>
      </c>
      <c r="M65" t="s">
        <v>100</v>
      </c>
      <c r="N65" t="s">
        <v>101</v>
      </c>
      <c r="O65" t="s">
        <v>102</v>
      </c>
      <c r="P65" t="s">
        <v>103</v>
      </c>
      <c r="Q65" t="s">
        <v>104</v>
      </c>
      <c r="R65" t="s">
        <v>105</v>
      </c>
      <c r="S65" t="s">
        <v>106</v>
      </c>
      <c r="T65" t="s">
        <v>107</v>
      </c>
      <c r="U65" t="s">
        <v>108</v>
      </c>
      <c r="V65" t="s">
        <v>109</v>
      </c>
      <c r="W65" t="s">
        <v>110</v>
      </c>
      <c r="X65" t="s">
        <v>111</v>
      </c>
      <c r="Y65" t="s">
        <v>112</v>
      </c>
      <c r="Z65" t="s">
        <v>113</v>
      </c>
      <c r="AA65" t="s">
        <v>114</v>
      </c>
      <c r="AB65" t="s">
        <v>115</v>
      </c>
      <c r="AC65" t="s">
        <v>116</v>
      </c>
      <c r="AD65" t="s">
        <v>117</v>
      </c>
      <c r="AE65" t="s">
        <v>118</v>
      </c>
      <c r="AF65" t="s">
        <v>119</v>
      </c>
      <c r="AG65" t="s">
        <v>120</v>
      </c>
      <c r="AH65" t="s">
        <v>121</v>
      </c>
      <c r="AI65" t="s">
        <v>241</v>
      </c>
      <c r="AJ65" t="s">
        <v>122</v>
      </c>
      <c r="AK65" t="s">
        <v>123</v>
      </c>
      <c r="AL65" t="s">
        <v>124</v>
      </c>
      <c r="AM65" t="s">
        <v>125</v>
      </c>
      <c r="AN65" t="s">
        <v>126</v>
      </c>
      <c r="AO65" t="s">
        <v>127</v>
      </c>
      <c r="AP65" t="s">
        <v>242</v>
      </c>
      <c r="AQ65" t="s">
        <v>232</v>
      </c>
      <c r="AR65" t="s">
        <v>128</v>
      </c>
      <c r="AS65" t="s">
        <v>129</v>
      </c>
      <c r="AT65" t="s">
        <v>130</v>
      </c>
      <c r="AU65" t="s">
        <v>131</v>
      </c>
      <c r="AV65" t="s">
        <v>132</v>
      </c>
      <c r="AW65" t="s">
        <v>133</v>
      </c>
      <c r="AX65" t="s">
        <v>134</v>
      </c>
      <c r="AY65" t="s">
        <v>135</v>
      </c>
      <c r="AZ65" t="s">
        <v>136</v>
      </c>
      <c r="BA65" t="s">
        <v>600</v>
      </c>
      <c r="BB65" t="s">
        <v>652</v>
      </c>
    </row>
    <row r="66" spans="1:54" x14ac:dyDescent="0.2">
      <c r="A66" t="s">
        <v>137</v>
      </c>
      <c r="B66" t="s">
        <v>138</v>
      </c>
      <c r="C66">
        <v>108.92604</v>
      </c>
      <c r="D66">
        <v>98.690984999999998</v>
      </c>
      <c r="E66">
        <v>117.53939</v>
      </c>
      <c r="F66">
        <v>162.18393</v>
      </c>
      <c r="G66">
        <v>104.61675</v>
      </c>
      <c r="H66">
        <v>42.204534000000002</v>
      </c>
      <c r="I66">
        <v>57.680362000000002</v>
      </c>
      <c r="J66">
        <v>153.17616000000001</v>
      </c>
      <c r="K66">
        <v>171.14431999999999</v>
      </c>
      <c r="L66">
        <v>98.883330000000001</v>
      </c>
      <c r="M66">
        <v>54.420203000000001</v>
      </c>
      <c r="N66">
        <v>52.711323999999998</v>
      </c>
      <c r="O66">
        <v>42.488933000000003</v>
      </c>
      <c r="P66">
        <v>44.143656999999997</v>
      </c>
      <c r="Q66">
        <v>15.712038</v>
      </c>
      <c r="R66">
        <v>19.54278</v>
      </c>
      <c r="S66">
        <v>24.229837</v>
      </c>
      <c r="T66">
        <v>30.991485000000001</v>
      </c>
      <c r="U66">
        <v>62.723201000000003</v>
      </c>
      <c r="V66">
        <v>66.340434000000002</v>
      </c>
      <c r="W66">
        <v>92.921800000000005</v>
      </c>
      <c r="X66">
        <v>311.46830999999997</v>
      </c>
      <c r="Y66">
        <v>351.82148000000001</v>
      </c>
      <c r="Z66">
        <v>267.77893999999998</v>
      </c>
      <c r="AA66">
        <v>264.23737999999997</v>
      </c>
      <c r="AB66">
        <v>24.553217</v>
      </c>
      <c r="AC66">
        <v>1026.4996000000001</v>
      </c>
      <c r="AD66">
        <v>6.7862698000000004</v>
      </c>
      <c r="AE66">
        <v>30.620650000000001</v>
      </c>
      <c r="AF66">
        <v>58.265819999999998</v>
      </c>
      <c r="AG66">
        <v>9906.1059999999998</v>
      </c>
      <c r="AH66">
        <v>75.046132</v>
      </c>
      <c r="AI66">
        <v>150.92881</v>
      </c>
      <c r="AJ66">
        <v>11.651742</v>
      </c>
      <c r="AK66">
        <v>13.015597</v>
      </c>
      <c r="AL66">
        <v>8.8104767000000006</v>
      </c>
      <c r="AM66">
        <v>2254.6334999999999</v>
      </c>
      <c r="AN66">
        <v>706.67574999999999</v>
      </c>
      <c r="AO66">
        <v>0</v>
      </c>
      <c r="AP66">
        <v>106.92461</v>
      </c>
      <c r="AQ66">
        <v>237.35048</v>
      </c>
      <c r="AR66">
        <v>3.960321</v>
      </c>
      <c r="AS66">
        <v>3.8043830000000001</v>
      </c>
      <c r="AT66">
        <v>7.6652855999999998</v>
      </c>
      <c r="AU66">
        <v>7.7898041999999998</v>
      </c>
      <c r="AV66">
        <v>10.801888999999999</v>
      </c>
      <c r="AW66">
        <v>8.9124058999999995</v>
      </c>
      <c r="AX66">
        <v>20.495156000000001</v>
      </c>
      <c r="AY66">
        <v>1.0316543</v>
      </c>
      <c r="AZ66">
        <v>0</v>
      </c>
      <c r="BA66">
        <v>4982781.3</v>
      </c>
      <c r="BB66">
        <v>4708334.8</v>
      </c>
    </row>
    <row r="67" spans="1:54" x14ac:dyDescent="0.2">
      <c r="A67" t="s">
        <v>139</v>
      </c>
      <c r="B67" t="s">
        <v>138</v>
      </c>
      <c r="C67">
        <v>56.711688000000002</v>
      </c>
      <c r="D67">
        <v>54.073500000000003</v>
      </c>
      <c r="E67">
        <v>55.591892000000001</v>
      </c>
      <c r="F67">
        <v>55.680886000000001</v>
      </c>
      <c r="G67">
        <v>52.583013999999999</v>
      </c>
      <c r="H67">
        <v>37.471457000000001</v>
      </c>
      <c r="I67">
        <v>43.226053</v>
      </c>
      <c r="J67">
        <v>48.260545</v>
      </c>
      <c r="K67">
        <v>46.521259000000001</v>
      </c>
      <c r="L67">
        <v>27.229766999999999</v>
      </c>
      <c r="M67">
        <v>28.097947999999999</v>
      </c>
      <c r="N67">
        <v>29.753412999999998</v>
      </c>
      <c r="O67">
        <v>26.191223000000001</v>
      </c>
      <c r="P67">
        <v>20.779454000000001</v>
      </c>
      <c r="Q67">
        <v>10.569086</v>
      </c>
      <c r="R67">
        <v>10.823083</v>
      </c>
      <c r="S67">
        <v>11.622142</v>
      </c>
      <c r="T67">
        <v>12.434898</v>
      </c>
      <c r="U67">
        <v>11.887959</v>
      </c>
      <c r="V67">
        <v>2.2051693999999999</v>
      </c>
      <c r="W67">
        <v>5.1978017000000003</v>
      </c>
      <c r="X67">
        <v>6.3935997999999996</v>
      </c>
      <c r="Y67">
        <v>10.936715</v>
      </c>
      <c r="Z67">
        <v>11.793715000000001</v>
      </c>
      <c r="AA67">
        <v>7.3113285000000001</v>
      </c>
      <c r="AB67">
        <v>0.50362368999999996</v>
      </c>
      <c r="AC67">
        <v>60.357686000000001</v>
      </c>
      <c r="AD67">
        <v>0.88501602999999995</v>
      </c>
      <c r="AE67">
        <v>1.3419274000000001</v>
      </c>
      <c r="AF67">
        <v>1.6003472999999999</v>
      </c>
      <c r="AG67">
        <v>19.525621000000001</v>
      </c>
      <c r="AH67">
        <v>69.307368999999994</v>
      </c>
      <c r="AI67">
        <v>150.22594000000001</v>
      </c>
      <c r="AJ67">
        <v>0.44934592000000001</v>
      </c>
      <c r="AK67">
        <v>0.47051472999999999</v>
      </c>
      <c r="AL67">
        <v>0.14239713000000001</v>
      </c>
      <c r="AM67">
        <v>3.5111958999999998E-2</v>
      </c>
      <c r="AN67">
        <v>3.7001526999999999E-2</v>
      </c>
      <c r="AO67">
        <v>0</v>
      </c>
      <c r="AP67">
        <v>5.3681988</v>
      </c>
      <c r="AQ67">
        <v>6.5702695000000002</v>
      </c>
      <c r="AR67">
        <v>5.7079492000000003E-2</v>
      </c>
      <c r="AS67">
        <v>5.4065551000000003E-2</v>
      </c>
      <c r="AT67">
        <v>0.10261164</v>
      </c>
      <c r="AU67">
        <v>0.40091996000000002</v>
      </c>
      <c r="AV67">
        <v>0.53991179</v>
      </c>
      <c r="AW67">
        <v>0.45728067999999999</v>
      </c>
      <c r="AX67">
        <v>0.49847160000000001</v>
      </c>
      <c r="AY67">
        <v>0.77205020000000002</v>
      </c>
      <c r="AZ67">
        <v>0</v>
      </c>
      <c r="BA67">
        <v>34219.512000000002</v>
      </c>
      <c r="BB67">
        <v>32341.052</v>
      </c>
    </row>
    <row r="68" spans="1:54" x14ac:dyDescent="0.2">
      <c r="A68" t="s">
        <v>140</v>
      </c>
      <c r="B68" t="s">
        <v>138</v>
      </c>
      <c r="C68">
        <v>0.86532898999999996</v>
      </c>
      <c r="D68">
        <v>0.71406952000000001</v>
      </c>
      <c r="E68">
        <v>0.91981550999999995</v>
      </c>
      <c r="F68">
        <v>0.78783422999999997</v>
      </c>
      <c r="G68">
        <v>0.79744391999999997</v>
      </c>
      <c r="H68">
        <v>2.7023003E-2</v>
      </c>
      <c r="I68">
        <v>0.14087663</v>
      </c>
      <c r="J68">
        <v>1.7571753000000001</v>
      </c>
      <c r="K68">
        <v>1.9902228</v>
      </c>
      <c r="L68">
        <v>1.1044219</v>
      </c>
      <c r="M68">
        <v>0.41405847000000001</v>
      </c>
      <c r="N68">
        <v>0.36844821999999999</v>
      </c>
      <c r="O68">
        <v>0.25989286</v>
      </c>
      <c r="P68">
        <v>0.30484872000000002</v>
      </c>
      <c r="Q68">
        <v>0.10722601</v>
      </c>
      <c r="R68">
        <v>0.11666519</v>
      </c>
      <c r="S68">
        <v>0.21991385999999999</v>
      </c>
      <c r="T68">
        <v>0.23376321999999999</v>
      </c>
      <c r="U68">
        <v>0.69077451000000001</v>
      </c>
      <c r="V68">
        <v>0.63029963</v>
      </c>
      <c r="W68">
        <v>0.53829503999999995</v>
      </c>
      <c r="X68">
        <v>2.9917631999999998</v>
      </c>
      <c r="Y68">
        <v>2.8520911</v>
      </c>
      <c r="Z68">
        <v>1.9873539</v>
      </c>
      <c r="AA68">
        <v>1.7089737</v>
      </c>
      <c r="AB68">
        <v>3.9330325999999999E-2</v>
      </c>
      <c r="AC68">
        <v>15.590088</v>
      </c>
      <c r="AD68">
        <v>1.6191486000000001E-2</v>
      </c>
      <c r="AE68">
        <v>0.48190446999999997</v>
      </c>
      <c r="AF68">
        <v>0.58049448999999997</v>
      </c>
      <c r="AG68">
        <v>4.9045721999999996</v>
      </c>
      <c r="AH68">
        <v>1.4719625999999999</v>
      </c>
      <c r="AI68">
        <v>0.29162071000000001</v>
      </c>
      <c r="AJ68">
        <v>8.1172659999999994E-2</v>
      </c>
      <c r="AK68">
        <v>0.10540455</v>
      </c>
      <c r="AL68">
        <v>2.1284312999999999E-2</v>
      </c>
      <c r="AM68">
        <v>4.9875730000000004E-3</v>
      </c>
      <c r="AN68">
        <v>7.0426415000000003E-3</v>
      </c>
      <c r="AO68">
        <v>0</v>
      </c>
      <c r="AP68">
        <v>1.9871946</v>
      </c>
      <c r="AQ68">
        <v>3.8577414000000001</v>
      </c>
      <c r="AR68">
        <v>2.5667348E-2</v>
      </c>
      <c r="AS68">
        <v>2.5084511E-2</v>
      </c>
      <c r="AT68">
        <v>5.2566302000000002E-2</v>
      </c>
      <c r="AU68">
        <v>0.14307276999999999</v>
      </c>
      <c r="AV68">
        <v>0.19859966000000001</v>
      </c>
      <c r="AW68">
        <v>0.16393632999999999</v>
      </c>
      <c r="AX68">
        <v>0.18424607000000001</v>
      </c>
      <c r="AY68">
        <v>0.11317990999999999</v>
      </c>
      <c r="AZ68">
        <v>0</v>
      </c>
      <c r="BA68">
        <v>4684939</v>
      </c>
      <c r="BB68">
        <v>4424674.9000000004</v>
      </c>
    </row>
    <row r="69" spans="1:54" x14ac:dyDescent="0.2">
      <c r="A69" t="s">
        <v>141</v>
      </c>
      <c r="B69" t="s">
        <v>138</v>
      </c>
      <c r="C69">
        <v>3.408899E-2</v>
      </c>
      <c r="D69">
        <v>3.1473645000000001E-2</v>
      </c>
      <c r="E69">
        <v>3.8900770000000001E-2</v>
      </c>
      <c r="F69">
        <v>3.0074399000000002E-2</v>
      </c>
      <c r="G69">
        <v>3.4472862999999999E-2</v>
      </c>
      <c r="H69">
        <v>1.9364606999999999E-3</v>
      </c>
      <c r="I69">
        <v>4.5241201E-3</v>
      </c>
      <c r="J69">
        <v>7.4591487999999997E-2</v>
      </c>
      <c r="K69">
        <v>8.7037279999999995E-2</v>
      </c>
      <c r="L69">
        <v>4.5094935000000003E-2</v>
      </c>
      <c r="M69">
        <v>1.7350206999999999E-2</v>
      </c>
      <c r="N69">
        <v>1.5838951E-2</v>
      </c>
      <c r="O69">
        <v>1.0969681E-2</v>
      </c>
      <c r="P69">
        <v>1.2624177E-2</v>
      </c>
      <c r="Q69">
        <v>7.9110485999999997E-3</v>
      </c>
      <c r="R69">
        <v>5.2350032000000003E-3</v>
      </c>
      <c r="S69">
        <v>8.1864400999999993E-3</v>
      </c>
      <c r="T69">
        <v>1.0287087E-2</v>
      </c>
      <c r="U69">
        <v>2.5221160999999999E-2</v>
      </c>
      <c r="V69">
        <v>5.0142457000000003E-3</v>
      </c>
      <c r="W69">
        <v>1.2218756000000001E-2</v>
      </c>
      <c r="X69">
        <v>2.6926977000000001E-2</v>
      </c>
      <c r="Y69">
        <v>3.7864143000000003E-2</v>
      </c>
      <c r="Z69">
        <v>2.5715568000000001E-2</v>
      </c>
      <c r="AA69">
        <v>2.3599294999999999E-2</v>
      </c>
      <c r="AB69">
        <v>1.5243294E-3</v>
      </c>
      <c r="AC69">
        <v>0.68141963999999999</v>
      </c>
      <c r="AD69">
        <v>7.5744512000000003E-3</v>
      </c>
      <c r="AE69">
        <v>2.2326204999999998E-2</v>
      </c>
      <c r="AF69">
        <v>2.6654559000000001E-2</v>
      </c>
      <c r="AG69">
        <v>140.08878999999999</v>
      </c>
      <c r="AH69">
        <v>1.2428558000000001E-4</v>
      </c>
      <c r="AI69">
        <v>2.8332464000000002E-2</v>
      </c>
      <c r="AJ69">
        <v>2.6414261000000001E-3</v>
      </c>
      <c r="AK69">
        <v>3.7059249000000001E-3</v>
      </c>
      <c r="AL69">
        <v>3.8707335999999999</v>
      </c>
      <c r="AM69">
        <v>1.7655311E-4</v>
      </c>
      <c r="AN69">
        <v>2.2937152999999999E-4</v>
      </c>
      <c r="AO69">
        <v>0</v>
      </c>
      <c r="AP69">
        <v>0.99091686000000001</v>
      </c>
      <c r="AQ69">
        <v>0.17254642000000001</v>
      </c>
      <c r="AR69">
        <v>3.8324107999999999E-4</v>
      </c>
      <c r="AS69">
        <v>3.6557332000000003E-4</v>
      </c>
      <c r="AT69">
        <v>1.1493057E-3</v>
      </c>
      <c r="AU69">
        <v>7.0609006000000002E-2</v>
      </c>
      <c r="AV69">
        <v>9.8344261000000002E-2</v>
      </c>
      <c r="AW69">
        <v>8.1012643999999995E-2</v>
      </c>
      <c r="AX69">
        <v>9.1758141000000001E-2</v>
      </c>
      <c r="AY69">
        <v>1.4672407E-2</v>
      </c>
      <c r="AZ69">
        <v>0</v>
      </c>
      <c r="BA69">
        <v>293.01046000000002</v>
      </c>
      <c r="BB69">
        <v>278.38677000000001</v>
      </c>
    </row>
    <row r="70" spans="1:54" x14ac:dyDescent="0.2">
      <c r="A70" t="s">
        <v>142</v>
      </c>
      <c r="B70" t="s">
        <v>138</v>
      </c>
      <c r="C70">
        <v>2.1222945E-3</v>
      </c>
      <c r="D70">
        <v>2.0102993000000002E-3</v>
      </c>
      <c r="E70">
        <v>2.5277496999999999E-3</v>
      </c>
      <c r="F70">
        <v>1.9132901E-3</v>
      </c>
      <c r="G70">
        <v>2.1761635999999998E-3</v>
      </c>
      <c r="H70">
        <v>1.0980679E-4</v>
      </c>
      <c r="I70">
        <v>4.1693992999999998E-4</v>
      </c>
      <c r="J70">
        <v>4.4123334999999998E-3</v>
      </c>
      <c r="K70">
        <v>5.1567516000000004E-3</v>
      </c>
      <c r="L70">
        <v>3.4096443E-3</v>
      </c>
      <c r="M70">
        <v>1.2103455E-3</v>
      </c>
      <c r="N70">
        <v>1.0201112E-3</v>
      </c>
      <c r="O70">
        <v>7.2927004000000002E-4</v>
      </c>
      <c r="P70">
        <v>9.5298401999999996E-4</v>
      </c>
      <c r="Q70">
        <v>7.5070846E-4</v>
      </c>
      <c r="R70">
        <v>3.6643184000000002E-4</v>
      </c>
      <c r="S70">
        <v>4.6073316000000002E-4</v>
      </c>
      <c r="T70">
        <v>6.2939555999999997E-4</v>
      </c>
      <c r="U70">
        <v>2.1423436999999999E-3</v>
      </c>
      <c r="V70">
        <v>4.5088302000000002E-3</v>
      </c>
      <c r="W70">
        <v>2.8302623000000002E-3</v>
      </c>
      <c r="X70">
        <v>2.0813165000000002E-2</v>
      </c>
      <c r="Y70">
        <v>1.8264931000000002E-2</v>
      </c>
      <c r="Z70">
        <v>1.2756513000000001E-2</v>
      </c>
      <c r="AA70">
        <v>1.1560654E-2</v>
      </c>
      <c r="AB70">
        <v>1.3158150000000001E-4</v>
      </c>
      <c r="AC70">
        <v>4.2965171000000003E-2</v>
      </c>
      <c r="AD70" s="1">
        <v>4.1794885000000001E-5</v>
      </c>
      <c r="AE70">
        <v>1.7732055999999999E-3</v>
      </c>
      <c r="AF70">
        <v>2.0412308000000001E-3</v>
      </c>
      <c r="AG70">
        <v>47.298839999999998</v>
      </c>
      <c r="AH70" s="1">
        <v>1.5707364E-5</v>
      </c>
      <c r="AI70">
        <v>7.1955556999999998E-4</v>
      </c>
      <c r="AJ70">
        <v>3.5810515000000001</v>
      </c>
      <c r="AK70" s="1">
        <v>3.5812048000000001</v>
      </c>
      <c r="AL70" s="1">
        <v>7.9428549000000001E-5</v>
      </c>
      <c r="AM70" s="1">
        <v>1.9311664000000002E-5</v>
      </c>
      <c r="AN70" s="1">
        <v>2.8931058E-5</v>
      </c>
      <c r="AO70">
        <v>0</v>
      </c>
      <c r="AP70">
        <v>0.32937007000000001</v>
      </c>
      <c r="AQ70">
        <v>1.0294113000000001E-2</v>
      </c>
      <c r="AR70">
        <v>1.0643838000000001</v>
      </c>
      <c r="AS70">
        <v>1.0531238000000001</v>
      </c>
      <c r="AT70">
        <v>1.4047102</v>
      </c>
      <c r="AU70">
        <v>2.3464761000000001E-2</v>
      </c>
      <c r="AV70">
        <v>3.2689448000000003E-2</v>
      </c>
      <c r="AW70">
        <v>2.6922818000000001E-2</v>
      </c>
      <c r="AX70" s="1">
        <v>3.0498846999999999E-2</v>
      </c>
      <c r="AY70" s="1">
        <v>1.1308377E-5</v>
      </c>
      <c r="AZ70">
        <v>0</v>
      </c>
      <c r="BA70">
        <v>95.358149999999995</v>
      </c>
      <c r="BB70">
        <v>90.585876999999996</v>
      </c>
    </row>
    <row r="71" spans="1:54" x14ac:dyDescent="0.2">
      <c r="A71" t="s">
        <v>143</v>
      </c>
      <c r="B71" t="s">
        <v>138</v>
      </c>
      <c r="C71">
        <v>0.14543323999999999</v>
      </c>
      <c r="D71">
        <v>0.13297827000000001</v>
      </c>
      <c r="E71">
        <v>0.17703938</v>
      </c>
      <c r="F71">
        <v>0.24948049999999999</v>
      </c>
      <c r="G71">
        <v>0.16347474000000001</v>
      </c>
      <c r="H71">
        <v>0.11259379999999999</v>
      </c>
      <c r="I71">
        <v>3.5371197E-2</v>
      </c>
      <c r="J71">
        <v>0.30098520000000001</v>
      </c>
      <c r="K71">
        <v>0.36873636999999998</v>
      </c>
      <c r="L71">
        <v>0.21789074</v>
      </c>
      <c r="M71">
        <v>8.1672045999999998E-2</v>
      </c>
      <c r="N71">
        <v>7.2095098999999996E-2</v>
      </c>
      <c r="O71">
        <v>5.3558486000000002E-2</v>
      </c>
      <c r="P71">
        <v>7.7056101000000002E-2</v>
      </c>
      <c r="Q71">
        <v>1.2525991E-2</v>
      </c>
      <c r="R71">
        <v>2.4469014000000001E-2</v>
      </c>
      <c r="S71">
        <v>3.3995405999999999E-2</v>
      </c>
      <c r="T71">
        <v>5.6826562999999997E-2</v>
      </c>
      <c r="U71">
        <v>0.14693110000000001</v>
      </c>
      <c r="V71">
        <v>0.21318329</v>
      </c>
      <c r="W71">
        <v>0.16745193999999999</v>
      </c>
      <c r="X71">
        <v>1.0123857000000001</v>
      </c>
      <c r="Y71">
        <v>0.94296093999999997</v>
      </c>
      <c r="Z71">
        <v>0.68294487000000004</v>
      </c>
      <c r="AA71">
        <v>0.5644015</v>
      </c>
      <c r="AB71">
        <v>8.7978724000000001E-3</v>
      </c>
      <c r="AC71">
        <v>2.8996179</v>
      </c>
      <c r="AD71">
        <v>0.12520144999999999</v>
      </c>
      <c r="AE71">
        <v>8.7853239999999999E-2</v>
      </c>
      <c r="AF71">
        <v>0.10608711999999999</v>
      </c>
      <c r="AG71">
        <v>17.304470999999999</v>
      </c>
      <c r="AH71">
        <v>5.8328421999999998E-2</v>
      </c>
      <c r="AI71">
        <v>0.17443966999999999</v>
      </c>
      <c r="AJ71">
        <v>4.4589556000000002E-2</v>
      </c>
      <c r="AK71">
        <v>5.1624806000000002E-2</v>
      </c>
      <c r="AL71">
        <v>9.8745343999999992E-3</v>
      </c>
      <c r="AM71">
        <v>3.7918650999999999</v>
      </c>
      <c r="AN71">
        <v>3.7925219999999999</v>
      </c>
      <c r="AO71">
        <v>0</v>
      </c>
      <c r="AP71">
        <v>0.19639955000000001</v>
      </c>
      <c r="AQ71">
        <v>0.68439691000000002</v>
      </c>
      <c r="AR71">
        <v>1.0498011999999999E-2</v>
      </c>
      <c r="AS71">
        <v>1.0444963999999999E-2</v>
      </c>
      <c r="AT71">
        <v>1.918336E-2</v>
      </c>
      <c r="AU71">
        <v>1.4449727000000001E-2</v>
      </c>
      <c r="AV71">
        <v>1.9986896000000001E-2</v>
      </c>
      <c r="AW71">
        <v>1.6511726000000001E-2</v>
      </c>
      <c r="AX71">
        <v>1.8265877E-2</v>
      </c>
      <c r="AY71">
        <v>7.0062453999999996E-2</v>
      </c>
      <c r="AZ71">
        <v>0</v>
      </c>
      <c r="BA71">
        <v>956.41965000000005</v>
      </c>
      <c r="BB71">
        <v>908.90912000000003</v>
      </c>
    </row>
    <row r="72" spans="1:54" x14ac:dyDescent="0.2">
      <c r="A72" t="s">
        <v>144</v>
      </c>
      <c r="B72" t="s">
        <v>138</v>
      </c>
      <c r="C72">
        <v>2.1669976000000001E-3</v>
      </c>
      <c r="D72">
        <v>1.4154628E-3</v>
      </c>
      <c r="E72">
        <v>1.9419184000000001E-3</v>
      </c>
      <c r="F72">
        <v>1.85271E-3</v>
      </c>
      <c r="G72">
        <v>1.7381484E-3</v>
      </c>
      <c r="H72">
        <v>2.0454374000000001E-4</v>
      </c>
      <c r="I72">
        <v>8.9506695000000002E-4</v>
      </c>
      <c r="J72">
        <v>9.8253231E-4</v>
      </c>
      <c r="K72">
        <v>5.2342907999999996E-4</v>
      </c>
      <c r="L72">
        <v>1.2187851E-3</v>
      </c>
      <c r="M72">
        <v>4.4210377999999998E-4</v>
      </c>
      <c r="N72">
        <v>3.2423137000000001E-4</v>
      </c>
      <c r="O72">
        <v>3.3226556999999999E-4</v>
      </c>
      <c r="P72">
        <v>2.5728218000000001E-3</v>
      </c>
      <c r="Q72" s="1">
        <v>2.9845384E-5</v>
      </c>
      <c r="R72">
        <v>1.2700668999999999E-4</v>
      </c>
      <c r="S72">
        <v>2.3871291E-4</v>
      </c>
      <c r="T72">
        <v>2.5753031999999998E-4</v>
      </c>
      <c r="U72">
        <v>9.2619241000000004E-4</v>
      </c>
      <c r="V72">
        <v>2.1471521000000001E-4</v>
      </c>
      <c r="W72">
        <v>6.7910306999999998E-3</v>
      </c>
      <c r="X72">
        <v>4.7376546000000002E-4</v>
      </c>
      <c r="Y72">
        <v>1.0457269999999999E-2</v>
      </c>
      <c r="Z72">
        <v>3.9473866E-3</v>
      </c>
      <c r="AA72">
        <v>7.0820052999999996</v>
      </c>
      <c r="AB72">
        <v>2.6347763E-4</v>
      </c>
      <c r="AC72">
        <v>8.4428654000000006E-2</v>
      </c>
      <c r="AD72" s="1">
        <v>7.7349639999999998E-5</v>
      </c>
      <c r="AE72">
        <v>7.8357736000000001E-4</v>
      </c>
      <c r="AF72">
        <v>7.3868247999999998E-4</v>
      </c>
      <c r="AG72">
        <v>2.4337967E-3</v>
      </c>
      <c r="AH72" s="1">
        <v>3.5268346E-6</v>
      </c>
      <c r="AI72" s="1">
        <v>3.8084643999999998E-4</v>
      </c>
      <c r="AJ72" s="1">
        <v>9.4134776000000006E-5</v>
      </c>
      <c r="AK72" s="1">
        <v>6.9529522000000006E-5</v>
      </c>
      <c r="AL72" s="1">
        <v>2.7211711999999998E-5</v>
      </c>
      <c r="AM72" s="1">
        <v>6.0997111000000003E-6</v>
      </c>
      <c r="AN72" s="1">
        <v>9.0119167999999992E-6</v>
      </c>
      <c r="AO72" s="1">
        <v>0</v>
      </c>
      <c r="AP72" s="1">
        <v>9.4803938999999995E-5</v>
      </c>
      <c r="AQ72" s="1">
        <v>1.0685857E-4</v>
      </c>
      <c r="AR72" s="1">
        <v>7.7561151999999994E-6</v>
      </c>
      <c r="AS72" s="1">
        <v>7.2163258000000003E-6</v>
      </c>
      <c r="AT72" s="1">
        <v>1.0978176E-5</v>
      </c>
      <c r="AU72" s="1">
        <v>1.0100055E-5</v>
      </c>
      <c r="AV72" s="1">
        <v>1.0719862999999999E-5</v>
      </c>
      <c r="AW72" s="1">
        <v>1.1095401999999999E-5</v>
      </c>
      <c r="AX72" s="1">
        <v>9.0519650999999999E-6</v>
      </c>
      <c r="AY72" s="1">
        <v>6.7100265000000003E-5</v>
      </c>
      <c r="AZ72">
        <v>0</v>
      </c>
      <c r="BA72">
        <v>15.60946</v>
      </c>
      <c r="BB72">
        <v>14.743765</v>
      </c>
    </row>
    <row r="73" spans="1:54" x14ac:dyDescent="0.2">
      <c r="A73" t="s">
        <v>145</v>
      </c>
      <c r="B73" t="s">
        <v>138</v>
      </c>
      <c r="C73">
        <v>8.3337189000000006E-2</v>
      </c>
      <c r="D73">
        <v>6.5034194000000003E-2</v>
      </c>
      <c r="E73">
        <v>8.3443953000000001E-2</v>
      </c>
      <c r="F73">
        <v>7.671733E-2</v>
      </c>
      <c r="G73">
        <v>7.4319069000000001E-2</v>
      </c>
      <c r="H73">
        <v>5.9469566999999996E-3</v>
      </c>
      <c r="I73">
        <v>2.0865779000000001E-2</v>
      </c>
      <c r="J73">
        <v>0.11467855</v>
      </c>
      <c r="K73">
        <v>0.12245060000000001</v>
      </c>
      <c r="L73">
        <v>0.18956656999999999</v>
      </c>
      <c r="M73">
        <v>0.10086394</v>
      </c>
      <c r="N73">
        <v>8.1332555000000001E-2</v>
      </c>
      <c r="O73">
        <v>2.2855785999999999E-2</v>
      </c>
      <c r="P73">
        <v>8.6020468000000003E-2</v>
      </c>
      <c r="Q73">
        <v>8.1465557000000004E-3</v>
      </c>
      <c r="R73">
        <v>1.5350735000000001E-2</v>
      </c>
      <c r="S73">
        <v>1.6266449999999998E-2</v>
      </c>
      <c r="T73">
        <v>1.9696023999999999E-2</v>
      </c>
      <c r="U73">
        <v>4.8839182000000002E-2</v>
      </c>
      <c r="V73">
        <v>9.2776898999999996E-2</v>
      </c>
      <c r="W73">
        <v>37.456639000000003</v>
      </c>
      <c r="X73">
        <v>0.23372794999999999</v>
      </c>
      <c r="Y73">
        <v>56.955807</v>
      </c>
      <c r="Z73">
        <v>51.360031999999997</v>
      </c>
      <c r="AA73">
        <v>63.541096000000003</v>
      </c>
      <c r="AB73">
        <v>21.072216999999998</v>
      </c>
      <c r="AC73">
        <v>2.2308273000000001</v>
      </c>
      <c r="AD73">
        <v>5.7012841999999999</v>
      </c>
      <c r="AE73">
        <v>0.3010832</v>
      </c>
      <c r="AF73">
        <v>21.551848</v>
      </c>
      <c r="AG73">
        <v>0.88284448999999998</v>
      </c>
      <c r="AH73">
        <v>0.13850923000000001</v>
      </c>
      <c r="AI73">
        <v>7.6192436000000002E-2</v>
      </c>
      <c r="AJ73">
        <v>1.6239686E-2</v>
      </c>
      <c r="AK73">
        <v>1.7172368E-2</v>
      </c>
      <c r="AL73">
        <v>2.3506396000000001E-3</v>
      </c>
      <c r="AM73">
        <v>4.1464581000000001E-4</v>
      </c>
      <c r="AN73">
        <v>5.4472579000000001E-4</v>
      </c>
      <c r="AO73">
        <v>0</v>
      </c>
      <c r="AP73">
        <v>0.37101082000000002</v>
      </c>
      <c r="AQ73">
        <v>0.22352864</v>
      </c>
      <c r="AR73">
        <v>2.1424207000000002E-3</v>
      </c>
      <c r="AS73">
        <v>2.0890167999999998E-3</v>
      </c>
      <c r="AT73">
        <v>4.8534108000000001E-3</v>
      </c>
      <c r="AU73">
        <v>2.6584657000000001E-2</v>
      </c>
      <c r="AV73">
        <v>3.6901590999999997E-2</v>
      </c>
      <c r="AW73">
        <v>3.0479900000000001E-2</v>
      </c>
      <c r="AX73">
        <v>3.4381353000000003E-2</v>
      </c>
      <c r="AY73">
        <v>1.3491975E-2</v>
      </c>
      <c r="AZ73">
        <v>0</v>
      </c>
      <c r="BA73">
        <v>397.74520999999999</v>
      </c>
      <c r="BB73">
        <v>376.21587</v>
      </c>
    </row>
    <row r="74" spans="1:54" x14ac:dyDescent="0.2">
      <c r="A74" t="s">
        <v>146</v>
      </c>
      <c r="B74" t="s">
        <v>138</v>
      </c>
      <c r="C74">
        <v>50.957943</v>
      </c>
      <c r="D74">
        <v>43.628953000000003</v>
      </c>
      <c r="E74">
        <v>60.613149</v>
      </c>
      <c r="F74">
        <v>105.27072</v>
      </c>
      <c r="G74">
        <v>50.890656999999997</v>
      </c>
      <c r="H74">
        <v>4.5660695000000002</v>
      </c>
      <c r="I74">
        <v>14.139696000000001</v>
      </c>
      <c r="J74">
        <v>102.5399</v>
      </c>
      <c r="K74">
        <v>121.98381999999999</v>
      </c>
      <c r="L74">
        <v>70.056219999999996</v>
      </c>
      <c r="M74">
        <v>25.693054</v>
      </c>
      <c r="N74">
        <v>22.406651</v>
      </c>
      <c r="O74">
        <v>15.939881</v>
      </c>
      <c r="P74">
        <v>22.844854000000002</v>
      </c>
      <c r="Q74">
        <v>5.0042457999999996</v>
      </c>
      <c r="R74">
        <v>8.5524547000000002</v>
      </c>
      <c r="S74">
        <v>12.322341</v>
      </c>
      <c r="T74">
        <v>18.226241000000002</v>
      </c>
      <c r="U74">
        <v>49.890869000000002</v>
      </c>
      <c r="V74">
        <v>63.169156999999998</v>
      </c>
      <c r="W74">
        <v>49.386271000000001</v>
      </c>
      <c r="X74">
        <v>300.62932999999998</v>
      </c>
      <c r="Y74">
        <v>279.70553000000001</v>
      </c>
      <c r="Z74">
        <v>201.67173</v>
      </c>
      <c r="AA74">
        <v>183.76997</v>
      </c>
      <c r="AB74">
        <v>2.9171182</v>
      </c>
      <c r="AC74">
        <v>943.93382999999994</v>
      </c>
      <c r="AD74">
        <v>3.7857987000000003E-2</v>
      </c>
      <c r="AE74">
        <v>28.373501999999998</v>
      </c>
      <c r="AF74">
        <v>34.384579000000002</v>
      </c>
      <c r="AG74">
        <v>9674.7361000000001</v>
      </c>
      <c r="AH74">
        <v>4.0665686000000001</v>
      </c>
      <c r="AI74">
        <v>5.4007614000000002E-2</v>
      </c>
      <c r="AJ74">
        <v>7.4396797000000001</v>
      </c>
      <c r="AK74">
        <v>8.6789675000000006</v>
      </c>
      <c r="AL74">
        <v>4.7474030000000003</v>
      </c>
      <c r="AM74">
        <v>2250.7968999999998</v>
      </c>
      <c r="AN74">
        <v>702.83389999999997</v>
      </c>
      <c r="AO74">
        <v>0</v>
      </c>
      <c r="AP74">
        <v>97.636270999999994</v>
      </c>
      <c r="AQ74">
        <v>225.78917000000001</v>
      </c>
      <c r="AR74">
        <v>2.7902347999999999</v>
      </c>
      <c r="AS74">
        <v>2.6498013</v>
      </c>
      <c r="AT74">
        <v>6.0668819000000003</v>
      </c>
      <c r="AU74">
        <v>7.1061215999999998</v>
      </c>
      <c r="AV74">
        <v>9.8691125999999993</v>
      </c>
      <c r="AW74">
        <v>8.1312049999999996</v>
      </c>
      <c r="AX74">
        <v>19.633174</v>
      </c>
      <c r="AY74">
        <v>2.4741918000000002E-2</v>
      </c>
      <c r="AZ74">
        <v>0</v>
      </c>
      <c r="BA74">
        <v>261534.98</v>
      </c>
      <c r="BB74">
        <v>249338.09</v>
      </c>
    </row>
    <row r="75" spans="1:54" x14ac:dyDescent="0.2">
      <c r="A75" t="s">
        <v>147</v>
      </c>
      <c r="B75" t="s">
        <v>138</v>
      </c>
      <c r="C75">
        <v>4.7060578999999998E-2</v>
      </c>
      <c r="D75">
        <v>3.3088825000000002E-2</v>
      </c>
      <c r="E75">
        <v>6.0558250000000001E-2</v>
      </c>
      <c r="F75">
        <v>4.2536632999999997E-2</v>
      </c>
      <c r="G75">
        <v>3.9538432999999998E-2</v>
      </c>
      <c r="H75">
        <v>1.3875200000000001E-2</v>
      </c>
      <c r="I75">
        <v>6.4514683000000003E-2</v>
      </c>
      <c r="J75">
        <v>5.3532407999999997E-2</v>
      </c>
      <c r="K75">
        <v>5.7411220999999998E-2</v>
      </c>
      <c r="L75">
        <v>1.9520250999999999E-2</v>
      </c>
      <c r="M75">
        <v>8.9007670000000004E-3</v>
      </c>
      <c r="N75">
        <v>9.2311835000000002E-3</v>
      </c>
      <c r="O75">
        <v>7.1305817999999998E-3</v>
      </c>
      <c r="P75">
        <v>2.3912099999999999E-2</v>
      </c>
      <c r="Q75">
        <v>1.6629748000000001E-3</v>
      </c>
      <c r="R75">
        <v>3.1426382999999998E-3</v>
      </c>
      <c r="S75">
        <v>4.8410539000000004E-3</v>
      </c>
      <c r="T75">
        <v>7.0302291999999999E-3</v>
      </c>
      <c r="U75">
        <v>1.5787867000000001E-2</v>
      </c>
      <c r="V75">
        <v>1.4979007000000001E-2</v>
      </c>
      <c r="W75">
        <v>7.6693414000000001E-2</v>
      </c>
      <c r="X75">
        <v>0.14662882999999999</v>
      </c>
      <c r="Y75">
        <v>0.24031747000000001</v>
      </c>
      <c r="Z75">
        <v>0.16485788000000001</v>
      </c>
      <c r="AA75">
        <v>0.10245625</v>
      </c>
      <c r="AB75">
        <v>3.2935931000000001E-3</v>
      </c>
      <c r="AC75">
        <v>0.47128530000000002</v>
      </c>
      <c r="AD75">
        <v>7.7256434000000001E-3</v>
      </c>
      <c r="AE75">
        <v>6.7161464000000002E-3</v>
      </c>
      <c r="AF75">
        <v>8.0284833999999996E-3</v>
      </c>
      <c r="AG75">
        <v>1.3046371999999999</v>
      </c>
      <c r="AH75">
        <v>1.0870731000000001E-3</v>
      </c>
      <c r="AI75">
        <v>5.4239202E-2</v>
      </c>
      <c r="AJ75">
        <v>3.5793448999999998E-2</v>
      </c>
      <c r="AK75">
        <v>0.10565600999999999</v>
      </c>
      <c r="AL75">
        <v>1.5736198999999999E-2</v>
      </c>
      <c r="AM75">
        <v>2.7771138000000002E-3</v>
      </c>
      <c r="AN75">
        <v>2.0385782000000002E-3</v>
      </c>
      <c r="AO75">
        <v>0</v>
      </c>
      <c r="AP75">
        <v>4.2449148999999999E-2</v>
      </c>
      <c r="AQ75">
        <v>3.8562204000000003E-2</v>
      </c>
      <c r="AR75">
        <v>9.6460428000000008E-3</v>
      </c>
      <c r="AS75">
        <v>9.2010776999999992E-3</v>
      </c>
      <c r="AT75">
        <v>1.2995932999999999E-2</v>
      </c>
      <c r="AU75">
        <v>4.3515845000000001E-3</v>
      </c>
      <c r="AV75">
        <v>6.0454291000000002E-3</v>
      </c>
      <c r="AW75">
        <v>4.7972581E-3</v>
      </c>
      <c r="AX75">
        <v>4.0870871000000001E-3</v>
      </c>
      <c r="AY75">
        <v>1.7240695E-2</v>
      </c>
      <c r="AZ75">
        <v>0</v>
      </c>
      <c r="BA75">
        <v>275.25369999999998</v>
      </c>
      <c r="BB75">
        <v>260.40759000000003</v>
      </c>
    </row>
    <row r="76" spans="1:54" x14ac:dyDescent="0.2">
      <c r="A76" t="s">
        <v>148</v>
      </c>
      <c r="B76" t="s">
        <v>138</v>
      </c>
      <c r="C76">
        <v>7.6865972000000005E-2</v>
      </c>
      <c r="D76">
        <v>8.4623237999999993E-3</v>
      </c>
      <c r="E76">
        <v>5.0117863999999998E-2</v>
      </c>
      <c r="F76">
        <v>4.1916816000000003E-2</v>
      </c>
      <c r="G76">
        <v>2.9919761E-2</v>
      </c>
      <c r="H76">
        <v>5.3174169999999996E-3</v>
      </c>
      <c r="I76">
        <v>4.7148200000000001E-2</v>
      </c>
      <c r="J76">
        <v>6.9362928000000004E-2</v>
      </c>
      <c r="K76">
        <v>7.6959929999999999E-3</v>
      </c>
      <c r="L76">
        <v>1.6221121000000002E-2</v>
      </c>
      <c r="M76">
        <v>4.7026628000000001E-3</v>
      </c>
      <c r="N76">
        <v>2.9699971999999999E-3</v>
      </c>
      <c r="O76">
        <v>2.3600861E-3</v>
      </c>
      <c r="P76">
        <v>1.1362058E-2</v>
      </c>
      <c r="Q76">
        <v>4.5269348999999999E-4</v>
      </c>
      <c r="R76">
        <v>1.8859216E-3</v>
      </c>
      <c r="S76">
        <v>1.4516897E-3</v>
      </c>
      <c r="T76">
        <v>1.8551456000000001E-3</v>
      </c>
      <c r="U76">
        <v>1.3751246E-2</v>
      </c>
      <c r="V76">
        <v>5.1312338000000001E-3</v>
      </c>
      <c r="W76">
        <v>7.6808904999999997E-2</v>
      </c>
      <c r="X76">
        <v>1.2658167999999999E-2</v>
      </c>
      <c r="Y76">
        <v>0.12147204</v>
      </c>
      <c r="Z76">
        <v>7.5882994999999995E-2</v>
      </c>
      <c r="AA76">
        <v>0.12198937</v>
      </c>
      <c r="AB76">
        <v>6.9171466000000001E-3</v>
      </c>
      <c r="AC76">
        <v>0.20743622</v>
      </c>
      <c r="AD76">
        <v>5.2994440000000004E-3</v>
      </c>
      <c r="AE76">
        <v>2.7805281E-3</v>
      </c>
      <c r="AF76">
        <v>5.0009564999999997E-3</v>
      </c>
      <c r="AG76">
        <v>5.7661379999999998E-2</v>
      </c>
      <c r="AH76">
        <v>2.1638244000000001E-3</v>
      </c>
      <c r="AI76">
        <v>2.2934779999999998E-2</v>
      </c>
      <c r="AJ76">
        <v>1.1341381000000001E-3</v>
      </c>
      <c r="AK76">
        <v>1.2763378000000001E-3</v>
      </c>
      <c r="AL76">
        <v>5.9060533999999996E-4</v>
      </c>
      <c r="AM76">
        <v>1.3186376999999999E-3</v>
      </c>
      <c r="AN76">
        <v>2.4264893000000001E-3</v>
      </c>
      <c r="AO76">
        <v>0</v>
      </c>
      <c r="AP76">
        <v>2.7083163000000002E-3</v>
      </c>
      <c r="AQ76">
        <v>3.8618146000000001E-3</v>
      </c>
      <c r="AR76">
        <v>2.7798820999999998E-4</v>
      </c>
      <c r="AS76">
        <v>2.0008786E-4</v>
      </c>
      <c r="AT76">
        <v>3.2246944000000001E-4</v>
      </c>
      <c r="AU76">
        <v>2.2004091000000001E-4</v>
      </c>
      <c r="AV76">
        <v>2.8609076000000002E-4</v>
      </c>
      <c r="AW76">
        <v>2.4847553000000001E-4</v>
      </c>
      <c r="AX76">
        <v>2.6386657000000002E-4</v>
      </c>
      <c r="AY76">
        <v>6.1363436999999996E-3</v>
      </c>
      <c r="AZ76">
        <v>0</v>
      </c>
      <c r="BA76">
        <v>54.436644999999999</v>
      </c>
      <c r="BB76">
        <v>51.441679000000001</v>
      </c>
    </row>
    <row r="78" spans="1:54" ht="16" x14ac:dyDescent="0.2">
      <c r="A78" s="5" t="s">
        <v>364</v>
      </c>
      <c r="C78" t="s">
        <v>154</v>
      </c>
      <c r="D78" t="s">
        <v>155</v>
      </c>
      <c r="E78" t="s">
        <v>156</v>
      </c>
      <c r="F78" t="s">
        <v>157</v>
      </c>
      <c r="G78" t="s">
        <v>158</v>
      </c>
      <c r="H78" t="s">
        <v>159</v>
      </c>
      <c r="I78" t="s">
        <v>160</v>
      </c>
      <c r="J78" t="s">
        <v>161</v>
      </c>
      <c r="K78" t="s">
        <v>162</v>
      </c>
      <c r="L78" t="s">
        <v>163</v>
      </c>
      <c r="M78" t="s">
        <v>164</v>
      </c>
      <c r="N78" t="s">
        <v>165</v>
      </c>
      <c r="O78" t="s">
        <v>166</v>
      </c>
      <c r="P78" t="s">
        <v>167</v>
      </c>
      <c r="Q78" t="s">
        <v>168</v>
      </c>
      <c r="R78" t="s">
        <v>169</v>
      </c>
      <c r="S78" t="s">
        <v>170</v>
      </c>
      <c r="T78" t="s">
        <v>171</v>
      </c>
      <c r="U78" t="s">
        <v>172</v>
      </c>
      <c r="V78" t="s">
        <v>173</v>
      </c>
      <c r="W78" t="s">
        <v>174</v>
      </c>
      <c r="X78" t="s">
        <v>175</v>
      </c>
      <c r="Y78" t="s">
        <v>176</v>
      </c>
      <c r="Z78" t="s">
        <v>177</v>
      </c>
      <c r="AA78" t="s">
        <v>178</v>
      </c>
      <c r="AB78" t="s">
        <v>179</v>
      </c>
      <c r="AC78" t="s">
        <v>180</v>
      </c>
      <c r="AD78" t="s">
        <v>181</v>
      </c>
      <c r="AE78" t="s">
        <v>182</v>
      </c>
      <c r="AF78" t="s">
        <v>183</v>
      </c>
      <c r="AG78" t="s">
        <v>184</v>
      </c>
      <c r="AH78" t="s">
        <v>234</v>
      </c>
      <c r="AI78" t="s">
        <v>233</v>
      </c>
      <c r="AJ78" t="s">
        <v>217</v>
      </c>
      <c r="AK78" t="s">
        <v>216</v>
      </c>
      <c r="AL78" t="s">
        <v>185</v>
      </c>
      <c r="AM78" t="s">
        <v>186</v>
      </c>
      <c r="AN78" t="s">
        <v>187</v>
      </c>
      <c r="AO78" t="s">
        <v>188</v>
      </c>
      <c r="AP78" t="s">
        <v>189</v>
      </c>
      <c r="AQ78" t="s">
        <v>190</v>
      </c>
      <c r="AR78" t="s">
        <v>215</v>
      </c>
      <c r="AS78" t="s">
        <v>214</v>
      </c>
      <c r="AT78" t="s">
        <v>218</v>
      </c>
      <c r="AU78" t="s">
        <v>222</v>
      </c>
      <c r="AV78" t="s">
        <v>221</v>
      </c>
      <c r="AW78" t="s">
        <v>219</v>
      </c>
      <c r="AX78" t="s">
        <v>220</v>
      </c>
      <c r="AY78" t="s">
        <v>191</v>
      </c>
      <c r="AZ78" t="s">
        <v>192</v>
      </c>
      <c r="BA78" t="s">
        <v>653</v>
      </c>
      <c r="BB78" t="s">
        <v>656</v>
      </c>
    </row>
    <row r="79" spans="1:54" ht="131" customHeight="1" x14ac:dyDescent="0.2">
      <c r="A79" s="5" t="s">
        <v>363</v>
      </c>
      <c r="C79" s="23" t="s">
        <v>298</v>
      </c>
      <c r="D79" s="23" t="s">
        <v>299</v>
      </c>
      <c r="E79" s="23" t="s">
        <v>300</v>
      </c>
      <c r="F79" s="23" t="s">
        <v>301</v>
      </c>
      <c r="G79" s="23" t="s">
        <v>302</v>
      </c>
      <c r="H79" s="23" t="s">
        <v>303</v>
      </c>
      <c r="I79" s="23" t="s">
        <v>304</v>
      </c>
      <c r="J79" s="23" t="s">
        <v>305</v>
      </c>
      <c r="K79" s="23" t="s">
        <v>306</v>
      </c>
      <c r="L79" s="23" t="s">
        <v>307</v>
      </c>
      <c r="M79" s="23" t="s">
        <v>308</v>
      </c>
      <c r="N79" s="23" t="s">
        <v>309</v>
      </c>
      <c r="O79" s="23" t="s">
        <v>310</v>
      </c>
      <c r="P79" s="23" t="s">
        <v>311</v>
      </c>
      <c r="Q79" s="23" t="s">
        <v>312</v>
      </c>
      <c r="R79" s="23" t="s">
        <v>313</v>
      </c>
      <c r="S79" s="23" t="s">
        <v>314</v>
      </c>
      <c r="T79" s="23" t="s">
        <v>315</v>
      </c>
      <c r="U79" s="23" t="s">
        <v>316</v>
      </c>
      <c r="V79" s="23" t="s">
        <v>317</v>
      </c>
      <c r="W79" s="23" t="s">
        <v>318</v>
      </c>
      <c r="X79" s="23" t="s">
        <v>319</v>
      </c>
      <c r="Y79" s="23" t="s">
        <v>320</v>
      </c>
      <c r="Z79" s="23" t="s">
        <v>321</v>
      </c>
      <c r="AA79" s="23" t="s">
        <v>322</v>
      </c>
      <c r="AB79" s="23" t="s">
        <v>323</v>
      </c>
      <c r="AC79" s="23" t="s">
        <v>324</v>
      </c>
      <c r="AD79" s="23" t="s">
        <v>325</v>
      </c>
      <c r="AE79" s="23" t="s">
        <v>326</v>
      </c>
      <c r="AF79" s="23" t="s">
        <v>327</v>
      </c>
      <c r="AG79" s="23" t="s">
        <v>328</v>
      </c>
      <c r="AH79" s="23" t="s">
        <v>329</v>
      </c>
      <c r="AI79" s="23" t="s">
        <v>330</v>
      </c>
      <c r="AJ79" s="23" t="s">
        <v>331</v>
      </c>
      <c r="AK79" s="23" t="s">
        <v>332</v>
      </c>
      <c r="AL79" s="23" t="s">
        <v>333</v>
      </c>
      <c r="AM79" s="23" t="s">
        <v>334</v>
      </c>
      <c r="AN79" s="23" t="s">
        <v>335</v>
      </c>
      <c r="AO79" s="23" t="s">
        <v>336</v>
      </c>
      <c r="AP79" s="23" t="s">
        <v>337</v>
      </c>
      <c r="AQ79" s="23" t="s">
        <v>338</v>
      </c>
      <c r="AR79" s="23" t="s">
        <v>339</v>
      </c>
      <c r="AS79" s="23" t="s">
        <v>340</v>
      </c>
      <c r="AT79" s="23" t="s">
        <v>341</v>
      </c>
      <c r="AU79" s="23" t="s">
        <v>342</v>
      </c>
      <c r="AV79" s="23" t="s">
        <v>343</v>
      </c>
      <c r="AW79" s="23" t="s">
        <v>344</v>
      </c>
      <c r="AX79" s="23" t="s">
        <v>345</v>
      </c>
      <c r="AY79" s="23" t="s">
        <v>346</v>
      </c>
      <c r="AZ79" s="23" t="s">
        <v>347</v>
      </c>
      <c r="BA79" s="5" t="s">
        <v>654</v>
      </c>
      <c r="BB79" s="5" t="s">
        <v>655</v>
      </c>
    </row>
    <row r="84" spans="4:4" x14ac:dyDescent="0.2">
      <c r="D84" s="5"/>
    </row>
    <row r="85" spans="4:4" x14ac:dyDescent="0.2">
      <c r="D85" s="5"/>
    </row>
    <row r="86" spans="4:4" x14ac:dyDescent="0.2">
      <c r="D86" s="5"/>
    </row>
    <row r="87" spans="4:4" x14ac:dyDescent="0.2">
      <c r="D87" s="5"/>
    </row>
    <row r="88" spans="4:4" x14ac:dyDescent="0.2">
      <c r="D88" s="5"/>
    </row>
    <row r="89" spans="4:4" x14ac:dyDescent="0.2">
      <c r="D89" s="5"/>
    </row>
    <row r="90" spans="4:4" x14ac:dyDescent="0.2">
      <c r="D90" s="5"/>
    </row>
    <row r="91" spans="4:4" x14ac:dyDescent="0.2">
      <c r="D91" s="5"/>
    </row>
    <row r="92" spans="4:4" x14ac:dyDescent="0.2">
      <c r="D92" s="5"/>
    </row>
    <row r="93" spans="4:4" x14ac:dyDescent="0.2">
      <c r="D93" s="5"/>
    </row>
    <row r="94" spans="4:4" x14ac:dyDescent="0.2">
      <c r="D94" s="5"/>
    </row>
    <row r="95" spans="4:4" x14ac:dyDescent="0.2">
      <c r="D95" s="5"/>
    </row>
    <row r="96" spans="4:4" x14ac:dyDescent="0.2">
      <c r="D96" s="5"/>
    </row>
    <row r="97" spans="4:4" x14ac:dyDescent="0.2">
      <c r="D97" s="5"/>
    </row>
    <row r="98" spans="4:4" x14ac:dyDescent="0.2">
      <c r="D98" s="5"/>
    </row>
    <row r="99" spans="4:4" x14ac:dyDescent="0.2">
      <c r="D99" s="5"/>
    </row>
    <row r="100" spans="4:4" x14ac:dyDescent="0.2">
      <c r="D100" s="5"/>
    </row>
    <row r="101" spans="4:4" x14ac:dyDescent="0.2">
      <c r="D101" s="5"/>
    </row>
    <row r="102" spans="4:4" x14ac:dyDescent="0.2">
      <c r="D102" s="5"/>
    </row>
    <row r="103" spans="4:4" x14ac:dyDescent="0.2">
      <c r="D103" s="5"/>
    </row>
    <row r="104" spans="4:4" x14ac:dyDescent="0.2">
      <c r="D104" s="5"/>
    </row>
    <row r="105" spans="4:4" x14ac:dyDescent="0.2">
      <c r="D105" s="5"/>
    </row>
    <row r="106" spans="4:4" x14ac:dyDescent="0.2">
      <c r="D106" s="5"/>
    </row>
    <row r="107" spans="4:4" x14ac:dyDescent="0.2">
      <c r="D107" s="5"/>
    </row>
    <row r="108" spans="4:4" x14ac:dyDescent="0.2">
      <c r="D108" s="5"/>
    </row>
    <row r="109" spans="4:4" x14ac:dyDescent="0.2">
      <c r="D109" s="5"/>
    </row>
    <row r="110" spans="4:4" x14ac:dyDescent="0.2">
      <c r="D110" s="5"/>
    </row>
    <row r="111" spans="4:4" x14ac:dyDescent="0.2">
      <c r="D111" s="5"/>
    </row>
    <row r="112" spans="4:4" x14ac:dyDescent="0.2">
      <c r="D112" s="5"/>
    </row>
    <row r="113" spans="4:4" x14ac:dyDescent="0.2">
      <c r="D113" s="5"/>
    </row>
    <row r="114" spans="4:4" x14ac:dyDescent="0.2">
      <c r="D114" s="5"/>
    </row>
    <row r="115" spans="4:4" x14ac:dyDescent="0.2">
      <c r="D115" s="5"/>
    </row>
    <row r="116" spans="4:4" x14ac:dyDescent="0.2">
      <c r="D116" s="5"/>
    </row>
    <row r="117" spans="4:4" x14ac:dyDescent="0.2">
      <c r="D117" s="5"/>
    </row>
    <row r="118" spans="4:4" x14ac:dyDescent="0.2">
      <c r="D118" s="5"/>
    </row>
    <row r="119" spans="4:4" x14ac:dyDescent="0.2">
      <c r="D119" s="5"/>
    </row>
    <row r="120" spans="4:4" x14ac:dyDescent="0.2">
      <c r="D120" s="5"/>
    </row>
    <row r="121" spans="4:4" x14ac:dyDescent="0.2">
      <c r="D121" s="5"/>
    </row>
    <row r="122" spans="4:4" x14ac:dyDescent="0.2">
      <c r="D122" s="5"/>
    </row>
    <row r="123" spans="4:4" x14ac:dyDescent="0.2">
      <c r="D123" s="5"/>
    </row>
    <row r="124" spans="4:4" x14ac:dyDescent="0.2">
      <c r="D124" s="5"/>
    </row>
    <row r="125" spans="4:4" x14ac:dyDescent="0.2">
      <c r="D125" s="5"/>
    </row>
    <row r="126" spans="4:4" x14ac:dyDescent="0.2">
      <c r="D126" s="5"/>
    </row>
    <row r="127" spans="4:4" x14ac:dyDescent="0.2">
      <c r="D127" s="5"/>
    </row>
    <row r="128" spans="4:4" x14ac:dyDescent="0.2">
      <c r="D128" s="5"/>
    </row>
    <row r="129" spans="4:4" x14ac:dyDescent="0.2">
      <c r="D129" s="5"/>
    </row>
    <row r="130" spans="4:4" x14ac:dyDescent="0.2">
      <c r="D130" s="5"/>
    </row>
    <row r="131" spans="4:4" x14ac:dyDescent="0.2">
      <c r="D131" s="5"/>
    </row>
    <row r="132" spans="4:4" x14ac:dyDescent="0.2">
      <c r="D132" s="5"/>
    </row>
    <row r="133" spans="4:4" x14ac:dyDescent="0.2">
      <c r="D133"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55BB-6B0C-4B52-9726-D75902E958B8}">
  <dimension ref="A2:BB75"/>
  <sheetViews>
    <sheetView topLeftCell="A33" zoomScaleNormal="100" workbookViewId="0">
      <pane xSplit="2" topLeftCell="AU1" activePane="topRight" state="frozen"/>
      <selection activeCell="A40" sqref="A40"/>
      <selection pane="topRight" activeCell="BA66" sqref="BA66:BB75"/>
    </sheetView>
  </sheetViews>
  <sheetFormatPr baseColWidth="10" defaultColWidth="10.83203125" defaultRowHeight="15" x14ac:dyDescent="0.2"/>
  <cols>
    <col min="1" max="1" width="27" customWidth="1"/>
    <col min="2" max="2" width="8.6640625" customWidth="1"/>
  </cols>
  <sheetData>
    <row r="2" spans="1:2" x14ac:dyDescent="0.2">
      <c r="A2" t="s">
        <v>0</v>
      </c>
      <c r="B2" t="s">
        <v>1</v>
      </c>
    </row>
    <row r="3" spans="1:2" x14ac:dyDescent="0.2">
      <c r="A3" t="s">
        <v>2</v>
      </c>
      <c r="B3" t="s">
        <v>3</v>
      </c>
    </row>
    <row r="4" spans="1:2" x14ac:dyDescent="0.2">
      <c r="A4" t="s">
        <v>4</v>
      </c>
      <c r="B4" t="s">
        <v>601</v>
      </c>
    </row>
    <row r="5" spans="1:2" x14ac:dyDescent="0.2">
      <c r="A5" t="s">
        <v>5</v>
      </c>
      <c r="B5" t="s">
        <v>602</v>
      </c>
    </row>
    <row r="6" spans="1:2" x14ac:dyDescent="0.2">
      <c r="A6" t="s">
        <v>6</v>
      </c>
      <c r="B6" t="s">
        <v>603</v>
      </c>
    </row>
    <row r="7" spans="1:2" x14ac:dyDescent="0.2">
      <c r="A7" t="s">
        <v>7</v>
      </c>
      <c r="B7" t="s">
        <v>604</v>
      </c>
    </row>
    <row r="8" spans="1:2" x14ac:dyDescent="0.2">
      <c r="A8" t="s">
        <v>8</v>
      </c>
      <c r="B8" t="s">
        <v>605</v>
      </c>
    </row>
    <row r="9" spans="1:2" x14ac:dyDescent="0.2">
      <c r="A9" t="s">
        <v>10</v>
      </c>
      <c r="B9" t="s">
        <v>606</v>
      </c>
    </row>
    <row r="10" spans="1:2" x14ac:dyDescent="0.2">
      <c r="A10" t="s">
        <v>11</v>
      </c>
      <c r="B10" t="s">
        <v>607</v>
      </c>
    </row>
    <row r="11" spans="1:2" x14ac:dyDescent="0.2">
      <c r="A11" t="s">
        <v>13</v>
      </c>
      <c r="B11" t="s">
        <v>608</v>
      </c>
    </row>
    <row r="12" spans="1:2" x14ac:dyDescent="0.2">
      <c r="A12" t="s">
        <v>15</v>
      </c>
      <c r="B12" t="s">
        <v>609</v>
      </c>
    </row>
    <row r="13" spans="1:2" x14ac:dyDescent="0.2">
      <c r="A13" t="s">
        <v>17</v>
      </c>
      <c r="B13" t="s">
        <v>610</v>
      </c>
    </row>
    <row r="14" spans="1:2" x14ac:dyDescent="0.2">
      <c r="A14" t="s">
        <v>18</v>
      </c>
      <c r="B14" t="s">
        <v>611</v>
      </c>
    </row>
    <row r="15" spans="1:2" x14ac:dyDescent="0.2">
      <c r="A15" t="s">
        <v>19</v>
      </c>
      <c r="B15" t="s">
        <v>612</v>
      </c>
    </row>
    <row r="16" spans="1:2" x14ac:dyDescent="0.2">
      <c r="A16" t="s">
        <v>20</v>
      </c>
      <c r="B16" t="s">
        <v>613</v>
      </c>
    </row>
    <row r="17" spans="1:2" x14ac:dyDescent="0.2">
      <c r="A17" t="s">
        <v>21</v>
      </c>
      <c r="B17" t="s">
        <v>614</v>
      </c>
    </row>
    <row r="18" spans="1:2" x14ac:dyDescent="0.2">
      <c r="A18" t="s">
        <v>22</v>
      </c>
      <c r="B18" t="s">
        <v>615</v>
      </c>
    </row>
    <row r="19" spans="1:2" x14ac:dyDescent="0.2">
      <c r="A19" t="s">
        <v>23</v>
      </c>
      <c r="B19" t="s">
        <v>616</v>
      </c>
    </row>
    <row r="20" spans="1:2" x14ac:dyDescent="0.2">
      <c r="A20" t="s">
        <v>24</v>
      </c>
      <c r="B20" t="s">
        <v>617</v>
      </c>
    </row>
    <row r="21" spans="1:2" x14ac:dyDescent="0.2">
      <c r="A21" t="s">
        <v>25</v>
      </c>
      <c r="B21" t="s">
        <v>618</v>
      </c>
    </row>
    <row r="22" spans="1:2" x14ac:dyDescent="0.2">
      <c r="A22" t="s">
        <v>26</v>
      </c>
      <c r="B22" t="s">
        <v>619</v>
      </c>
    </row>
    <row r="23" spans="1:2" x14ac:dyDescent="0.2">
      <c r="A23" t="s">
        <v>27</v>
      </c>
      <c r="B23" t="s">
        <v>620</v>
      </c>
    </row>
    <row r="24" spans="1:2" x14ac:dyDescent="0.2">
      <c r="A24" t="s">
        <v>29</v>
      </c>
      <c r="B24" t="s">
        <v>621</v>
      </c>
    </row>
    <row r="25" spans="1:2" x14ac:dyDescent="0.2">
      <c r="A25" t="s">
        <v>31</v>
      </c>
      <c r="B25" t="s">
        <v>622</v>
      </c>
    </row>
    <row r="26" spans="1:2" x14ac:dyDescent="0.2">
      <c r="A26" t="s">
        <v>33</v>
      </c>
      <c r="B26" t="s">
        <v>623</v>
      </c>
    </row>
    <row r="27" spans="1:2" x14ac:dyDescent="0.2">
      <c r="A27" t="s">
        <v>34</v>
      </c>
      <c r="B27" t="s">
        <v>624</v>
      </c>
    </row>
    <row r="28" spans="1:2" x14ac:dyDescent="0.2">
      <c r="A28" t="s">
        <v>36</v>
      </c>
      <c r="B28" t="s">
        <v>625</v>
      </c>
    </row>
    <row r="29" spans="1:2" x14ac:dyDescent="0.2">
      <c r="A29" t="s">
        <v>37</v>
      </c>
      <c r="B29" t="s">
        <v>626</v>
      </c>
    </row>
    <row r="30" spans="1:2" x14ac:dyDescent="0.2">
      <c r="A30" t="s">
        <v>39</v>
      </c>
      <c r="B30" t="s">
        <v>627</v>
      </c>
    </row>
    <row r="31" spans="1:2" x14ac:dyDescent="0.2">
      <c r="A31" t="s">
        <v>41</v>
      </c>
      <c r="B31" t="s">
        <v>42</v>
      </c>
    </row>
    <row r="32" spans="1:2" x14ac:dyDescent="0.2">
      <c r="A32" t="s">
        <v>43</v>
      </c>
      <c r="B32" t="s">
        <v>628</v>
      </c>
    </row>
    <row r="33" spans="1:2" x14ac:dyDescent="0.2">
      <c r="A33" t="s">
        <v>44</v>
      </c>
      <c r="B33" t="s">
        <v>629</v>
      </c>
    </row>
    <row r="34" spans="1:2" x14ac:dyDescent="0.2">
      <c r="A34" t="s">
        <v>46</v>
      </c>
      <c r="B34" t="s">
        <v>630</v>
      </c>
    </row>
    <row r="35" spans="1:2" x14ac:dyDescent="0.2">
      <c r="A35" t="s">
        <v>47</v>
      </c>
      <c r="B35" t="s">
        <v>631</v>
      </c>
    </row>
    <row r="36" spans="1:2" x14ac:dyDescent="0.2">
      <c r="A36" t="s">
        <v>49</v>
      </c>
      <c r="B36" t="s">
        <v>239</v>
      </c>
    </row>
    <row r="37" spans="1:2" x14ac:dyDescent="0.2">
      <c r="A37" t="s">
        <v>50</v>
      </c>
      <c r="B37" t="s">
        <v>632</v>
      </c>
    </row>
    <row r="38" spans="1:2" x14ac:dyDescent="0.2">
      <c r="A38" t="s">
        <v>51</v>
      </c>
      <c r="B38" t="s">
        <v>633</v>
      </c>
    </row>
    <row r="39" spans="1:2" x14ac:dyDescent="0.2">
      <c r="A39" t="s">
        <v>53</v>
      </c>
      <c r="B39" t="s">
        <v>634</v>
      </c>
    </row>
    <row r="40" spans="1:2" x14ac:dyDescent="0.2">
      <c r="A40" t="s">
        <v>55</v>
      </c>
      <c r="B40" t="s">
        <v>635</v>
      </c>
    </row>
    <row r="41" spans="1:2" x14ac:dyDescent="0.2">
      <c r="A41" t="s">
        <v>57</v>
      </c>
      <c r="B41" t="s">
        <v>636</v>
      </c>
    </row>
    <row r="42" spans="1:2" x14ac:dyDescent="0.2">
      <c r="A42" t="s">
        <v>59</v>
      </c>
      <c r="B42" t="s">
        <v>637</v>
      </c>
    </row>
    <row r="43" spans="1:2" x14ac:dyDescent="0.2">
      <c r="A43" t="s">
        <v>60</v>
      </c>
      <c r="B43" t="s">
        <v>638</v>
      </c>
    </row>
    <row r="44" spans="1:2" x14ac:dyDescent="0.2">
      <c r="A44" t="s">
        <v>61</v>
      </c>
      <c r="B44" t="s">
        <v>639</v>
      </c>
    </row>
    <row r="45" spans="1:2" x14ac:dyDescent="0.2">
      <c r="A45" t="s">
        <v>63</v>
      </c>
      <c r="B45" t="s">
        <v>640</v>
      </c>
    </row>
    <row r="46" spans="1:2" x14ac:dyDescent="0.2">
      <c r="A46" t="s">
        <v>65</v>
      </c>
      <c r="B46" t="s">
        <v>641</v>
      </c>
    </row>
    <row r="47" spans="1:2" x14ac:dyDescent="0.2">
      <c r="A47" t="s">
        <v>67</v>
      </c>
      <c r="B47" t="s">
        <v>642</v>
      </c>
    </row>
    <row r="48" spans="1:2" x14ac:dyDescent="0.2">
      <c r="A48" t="s">
        <v>68</v>
      </c>
      <c r="B48" t="s">
        <v>643</v>
      </c>
    </row>
    <row r="49" spans="1:2" x14ac:dyDescent="0.2">
      <c r="A49" t="s">
        <v>69</v>
      </c>
      <c r="B49" t="s">
        <v>644</v>
      </c>
    </row>
    <row r="50" spans="1:2" x14ac:dyDescent="0.2">
      <c r="A50" t="s">
        <v>70</v>
      </c>
      <c r="B50" t="s">
        <v>645</v>
      </c>
    </row>
    <row r="51" spans="1:2" x14ac:dyDescent="0.2">
      <c r="A51" t="s">
        <v>71</v>
      </c>
      <c r="B51" t="s">
        <v>646</v>
      </c>
    </row>
    <row r="52" spans="1:2" x14ac:dyDescent="0.2">
      <c r="A52" t="s">
        <v>73</v>
      </c>
      <c r="B52" t="s">
        <v>72</v>
      </c>
    </row>
    <row r="53" spans="1:2" x14ac:dyDescent="0.2">
      <c r="A53" t="s">
        <v>227</v>
      </c>
      <c r="B53" t="s">
        <v>647</v>
      </c>
    </row>
    <row r="54" spans="1:2" x14ac:dyDescent="0.2">
      <c r="A54" t="s">
        <v>648</v>
      </c>
      <c r="B54" t="s">
        <v>649</v>
      </c>
    </row>
    <row r="55" spans="1:2" x14ac:dyDescent="0.2">
      <c r="A55" t="s">
        <v>650</v>
      </c>
      <c r="B55" t="s">
        <v>651</v>
      </c>
    </row>
    <row r="56" spans="1:2" x14ac:dyDescent="0.2">
      <c r="A56" t="s">
        <v>75</v>
      </c>
      <c r="B56" t="s">
        <v>149</v>
      </c>
    </row>
    <row r="57" spans="1:2" x14ac:dyDescent="0.2">
      <c r="A57" t="s">
        <v>77</v>
      </c>
      <c r="B57" t="s">
        <v>78</v>
      </c>
    </row>
    <row r="58" spans="1:2" x14ac:dyDescent="0.2">
      <c r="A58" t="s">
        <v>79</v>
      </c>
      <c r="B58" t="s">
        <v>80</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x14ac:dyDescent="0.2">
      <c r="A65" t="s">
        <v>87</v>
      </c>
      <c r="B65" t="s">
        <v>90</v>
      </c>
      <c r="C65" t="s">
        <v>91</v>
      </c>
      <c r="D65" t="s">
        <v>92</v>
      </c>
      <c r="E65" t="s">
        <v>93</v>
      </c>
      <c r="F65" t="s">
        <v>94</v>
      </c>
      <c r="G65" t="s">
        <v>95</v>
      </c>
      <c r="H65" t="s">
        <v>229</v>
      </c>
      <c r="I65" t="s">
        <v>96</v>
      </c>
      <c r="J65" t="s">
        <v>97</v>
      </c>
      <c r="K65" t="s">
        <v>98</v>
      </c>
      <c r="L65" t="s">
        <v>99</v>
      </c>
      <c r="M65" t="s">
        <v>100</v>
      </c>
      <c r="N65" t="s">
        <v>101</v>
      </c>
      <c r="O65" t="s">
        <v>102</v>
      </c>
      <c r="P65" t="s">
        <v>103</v>
      </c>
      <c r="Q65" t="s">
        <v>104</v>
      </c>
      <c r="R65" t="s">
        <v>105</v>
      </c>
      <c r="S65" t="s">
        <v>106</v>
      </c>
      <c r="T65" t="s">
        <v>107</v>
      </c>
      <c r="U65" t="s">
        <v>108</v>
      </c>
      <c r="V65" t="s">
        <v>109</v>
      </c>
      <c r="W65" t="s">
        <v>110</v>
      </c>
      <c r="X65" t="s">
        <v>111</v>
      </c>
      <c r="Y65" t="s">
        <v>112</v>
      </c>
      <c r="Z65" t="s">
        <v>113</v>
      </c>
      <c r="AA65" t="s">
        <v>114</v>
      </c>
      <c r="AB65" t="s">
        <v>115</v>
      </c>
      <c r="AC65" t="s">
        <v>116</v>
      </c>
      <c r="AD65" t="s">
        <v>117</v>
      </c>
      <c r="AE65" t="s">
        <v>118</v>
      </c>
      <c r="AF65" t="s">
        <v>119</v>
      </c>
      <c r="AG65" t="s">
        <v>120</v>
      </c>
      <c r="AH65" t="s">
        <v>121</v>
      </c>
      <c r="AI65" t="s">
        <v>241</v>
      </c>
      <c r="AJ65" t="s">
        <v>122</v>
      </c>
      <c r="AK65" t="s">
        <v>123</v>
      </c>
      <c r="AL65" t="s">
        <v>124</v>
      </c>
      <c r="AM65" t="s">
        <v>125</v>
      </c>
      <c r="AN65" t="s">
        <v>126</v>
      </c>
      <c r="AO65" t="s">
        <v>127</v>
      </c>
      <c r="AP65" t="s">
        <v>242</v>
      </c>
      <c r="AQ65" t="s">
        <v>232</v>
      </c>
      <c r="AR65" t="s">
        <v>128</v>
      </c>
      <c r="AS65" t="s">
        <v>129</v>
      </c>
      <c r="AT65" t="s">
        <v>130</v>
      </c>
      <c r="AU65" t="s">
        <v>131</v>
      </c>
      <c r="AV65" t="s">
        <v>132</v>
      </c>
      <c r="AW65" t="s">
        <v>133</v>
      </c>
      <c r="AX65" t="s">
        <v>134</v>
      </c>
      <c r="AY65" t="s">
        <v>135</v>
      </c>
      <c r="AZ65" t="s">
        <v>136</v>
      </c>
      <c r="BA65" t="s">
        <v>600</v>
      </c>
      <c r="BB65" t="s">
        <v>652</v>
      </c>
    </row>
    <row r="66" spans="1:54" x14ac:dyDescent="0.2">
      <c r="A66" t="s">
        <v>137</v>
      </c>
      <c r="B66" t="s">
        <v>138</v>
      </c>
      <c r="C66">
        <v>57.360731000000001</v>
      </c>
      <c r="D66">
        <v>54.389346000000003</v>
      </c>
      <c r="E66">
        <v>56.314829000000003</v>
      </c>
      <c r="F66">
        <v>56.315071000000003</v>
      </c>
      <c r="G66">
        <v>53.170808999999998</v>
      </c>
      <c r="H66">
        <v>39.996946000000001</v>
      </c>
      <c r="I66">
        <v>46.103813000000002</v>
      </c>
      <c r="J66">
        <v>53.305906999999998</v>
      </c>
      <c r="K66">
        <v>51.754899999999999</v>
      </c>
      <c r="L66">
        <v>28.109442999999999</v>
      </c>
      <c r="M66">
        <v>27.938123999999998</v>
      </c>
      <c r="N66">
        <v>29.462471000000001</v>
      </c>
      <c r="O66">
        <v>25.786366999999998</v>
      </c>
      <c r="P66">
        <v>20.724696000000002</v>
      </c>
      <c r="Q66">
        <v>10.303993999999999</v>
      </c>
      <c r="R66">
        <v>10.580157</v>
      </c>
      <c r="S66">
        <v>11.494517999999999</v>
      </c>
      <c r="T66">
        <v>12.339482</v>
      </c>
      <c r="U66">
        <v>12.430249999999999</v>
      </c>
      <c r="V66">
        <v>3.3644400999999999</v>
      </c>
      <c r="W66">
        <v>41.651443</v>
      </c>
      <c r="X66">
        <v>11.469338</v>
      </c>
      <c r="Y66">
        <v>69.592837000000003</v>
      </c>
      <c r="Z66">
        <v>63.811196000000002</v>
      </c>
      <c r="AA66">
        <v>77.168746999999996</v>
      </c>
      <c r="AB66">
        <v>20.620598000000001</v>
      </c>
      <c r="AC66">
        <v>81.792423999999997</v>
      </c>
      <c r="AD66">
        <v>6.4537538000000003</v>
      </c>
      <c r="AE66">
        <v>2.2311510000000001</v>
      </c>
      <c r="AF66">
        <v>22.850989999999999</v>
      </c>
      <c r="AG66">
        <v>233.47443999999999</v>
      </c>
      <c r="AH66">
        <v>72.528756999999999</v>
      </c>
      <c r="AI66">
        <v>148.89269999999999</v>
      </c>
      <c r="AJ66">
        <v>4.4440137000000002</v>
      </c>
      <c r="AK66">
        <v>4.499898</v>
      </c>
      <c r="AL66">
        <v>4.0477197</v>
      </c>
      <c r="AM66">
        <v>3.8326053</v>
      </c>
      <c r="AN66">
        <v>3.8376155000000001</v>
      </c>
      <c r="AO66">
        <v>0</v>
      </c>
      <c r="AP66">
        <v>9.1851643000000003</v>
      </c>
      <c r="AQ66">
        <v>11.566371999999999</v>
      </c>
      <c r="AR66">
        <v>1.2439784</v>
      </c>
      <c r="AS66">
        <v>1.2280443000000001</v>
      </c>
      <c r="AT66">
        <v>1.6994891999999999</v>
      </c>
      <c r="AU66">
        <v>1.4191052</v>
      </c>
      <c r="AV66">
        <v>0.92096023999999999</v>
      </c>
      <c r="AW66">
        <v>1.4774202000000001</v>
      </c>
      <c r="AX66">
        <v>0.85229273000000005</v>
      </c>
      <c r="AY66">
        <v>8.1407985000000007</v>
      </c>
      <c r="AZ66">
        <v>0</v>
      </c>
      <c r="BA66">
        <v>4720911.5</v>
      </c>
      <c r="BB66">
        <v>4458680.4000000004</v>
      </c>
    </row>
    <row r="67" spans="1:54" x14ac:dyDescent="0.2">
      <c r="A67" t="s">
        <v>139</v>
      </c>
      <c r="B67" t="s">
        <v>138</v>
      </c>
      <c r="C67">
        <v>56.223883000000001</v>
      </c>
      <c r="D67">
        <v>53.438166000000002</v>
      </c>
      <c r="E67">
        <v>55.085493999999997</v>
      </c>
      <c r="F67">
        <v>55.163435</v>
      </c>
      <c r="G67">
        <v>52.092675999999997</v>
      </c>
      <c r="H67">
        <v>39.848911999999999</v>
      </c>
      <c r="I67">
        <v>45.899458000000003</v>
      </c>
      <c r="J67">
        <v>51.044075999999997</v>
      </c>
      <c r="K67">
        <v>49.170310999999998</v>
      </c>
      <c r="L67">
        <v>26.526512</v>
      </c>
      <c r="M67">
        <v>27.318757999999999</v>
      </c>
      <c r="N67">
        <v>28.922039000000002</v>
      </c>
      <c r="O67">
        <v>25.434877</v>
      </c>
      <c r="P67">
        <v>20.235955000000001</v>
      </c>
      <c r="Q67">
        <v>10.166795</v>
      </c>
      <c r="R67">
        <v>10.415222999999999</v>
      </c>
      <c r="S67">
        <v>11.213979999999999</v>
      </c>
      <c r="T67">
        <v>12.016099000000001</v>
      </c>
      <c r="U67">
        <v>11.493757</v>
      </c>
      <c r="V67">
        <v>2.2987641999999999</v>
      </c>
      <c r="W67">
        <v>5.1890729999999996</v>
      </c>
      <c r="X67">
        <v>6.6234057999999996</v>
      </c>
      <c r="Y67">
        <v>11.011184</v>
      </c>
      <c r="Z67">
        <v>11.849292</v>
      </c>
      <c r="AA67">
        <v>7.3159764999999997</v>
      </c>
      <c r="AB67">
        <v>0.50036062000000003</v>
      </c>
      <c r="AC67">
        <v>60.177506000000001</v>
      </c>
      <c r="AD67">
        <v>0.87471577</v>
      </c>
      <c r="AE67">
        <v>1.3439226</v>
      </c>
      <c r="AF67">
        <v>1.6023943</v>
      </c>
      <c r="AG67">
        <v>19.434685999999999</v>
      </c>
      <c r="AH67">
        <v>70.866144000000006</v>
      </c>
      <c r="AI67">
        <v>148.32071999999999</v>
      </c>
      <c r="AJ67">
        <v>0.44871017000000002</v>
      </c>
      <c r="AK67">
        <v>0.47101207</v>
      </c>
      <c r="AL67">
        <v>0.14321263000000001</v>
      </c>
      <c r="AM67">
        <v>3.4875796000000001E-2</v>
      </c>
      <c r="AN67">
        <v>3.6777501999999997E-2</v>
      </c>
      <c r="AO67">
        <v>0</v>
      </c>
      <c r="AP67">
        <v>5.2921116000000001</v>
      </c>
      <c r="AQ67">
        <v>6.5974237000000002</v>
      </c>
      <c r="AR67">
        <v>5.7064058000000001E-2</v>
      </c>
      <c r="AS67">
        <v>5.4075333000000003E-2</v>
      </c>
      <c r="AT67">
        <v>0.10279101</v>
      </c>
      <c r="AU67">
        <v>0.39550562</v>
      </c>
      <c r="AV67">
        <v>0.53247149000000005</v>
      </c>
      <c r="AW67">
        <v>0.45106751</v>
      </c>
      <c r="AX67">
        <v>0.49144175000000001</v>
      </c>
      <c r="AY67">
        <v>0.76690886999999996</v>
      </c>
      <c r="AZ67">
        <v>0</v>
      </c>
      <c r="BA67">
        <v>34194.53</v>
      </c>
      <c r="BB67">
        <v>32317.824000000001</v>
      </c>
    </row>
    <row r="68" spans="1:54" x14ac:dyDescent="0.2">
      <c r="A68" t="s">
        <v>150</v>
      </c>
      <c r="B68" t="s">
        <v>138</v>
      </c>
      <c r="C68">
        <v>0.87361042</v>
      </c>
      <c r="D68">
        <v>0.72128020000000004</v>
      </c>
      <c r="E68">
        <v>0.92935674000000001</v>
      </c>
      <c r="F68">
        <v>0.79519488999999999</v>
      </c>
      <c r="G68">
        <v>0.80540968000000002</v>
      </c>
      <c r="H68">
        <v>2.7526818000000002E-2</v>
      </c>
      <c r="I68">
        <v>0.14328547999999999</v>
      </c>
      <c r="J68">
        <v>1.7713559999999999</v>
      </c>
      <c r="K68">
        <v>2.0061526000000001</v>
      </c>
      <c r="L68">
        <v>1.1345786</v>
      </c>
      <c r="M68">
        <v>0.42256023999999998</v>
      </c>
      <c r="N68">
        <v>0.37363226999999999</v>
      </c>
      <c r="O68">
        <v>0.26409306999999999</v>
      </c>
      <c r="P68">
        <v>0.31366073</v>
      </c>
      <c r="Q68">
        <v>0.10816799000000001</v>
      </c>
      <c r="R68">
        <v>0.12009549</v>
      </c>
      <c r="S68">
        <v>0.2221418</v>
      </c>
      <c r="T68">
        <v>0.23658897000000001</v>
      </c>
      <c r="U68">
        <v>0.71464212000000005</v>
      </c>
      <c r="V68">
        <v>0.75406645000000005</v>
      </c>
      <c r="W68">
        <v>0.60019745000000002</v>
      </c>
      <c r="X68">
        <v>3.5611887000000002</v>
      </c>
      <c r="Y68">
        <v>3.3276001000000002</v>
      </c>
      <c r="Z68">
        <v>2.3214481</v>
      </c>
      <c r="AA68">
        <v>1.9922276999999999</v>
      </c>
      <c r="AB68">
        <v>4.0744590999999997E-2</v>
      </c>
      <c r="AC68">
        <v>15.782662999999999</v>
      </c>
      <c r="AD68">
        <v>1.6191486000000001E-2</v>
      </c>
      <c r="AE68">
        <v>0.48764737000000002</v>
      </c>
      <c r="AF68">
        <v>0.58738274999999995</v>
      </c>
      <c r="AG68">
        <v>4.9443839000000001</v>
      </c>
      <c r="AH68">
        <v>1.4722265000000001</v>
      </c>
      <c r="AI68">
        <v>0.29162071000000001</v>
      </c>
      <c r="AJ68">
        <v>8.1922337999999997E-2</v>
      </c>
      <c r="AK68">
        <v>0.10637573</v>
      </c>
      <c r="AL68">
        <v>2.154882E-2</v>
      </c>
      <c r="AM68">
        <v>5.2663961999999996E-3</v>
      </c>
      <c r="AN68">
        <v>7.5282125E-3</v>
      </c>
      <c r="AO68">
        <v>0</v>
      </c>
      <c r="AP68">
        <v>1.9981405999999999</v>
      </c>
      <c r="AQ68">
        <v>3.8879491000000002</v>
      </c>
      <c r="AR68">
        <v>2.9486545999999999E-2</v>
      </c>
      <c r="AS68">
        <v>2.8770805999999999E-2</v>
      </c>
      <c r="AT68">
        <v>6.1291629E-2</v>
      </c>
      <c r="AU68">
        <v>0.14398146000000001</v>
      </c>
      <c r="AV68">
        <v>0.19985301999999999</v>
      </c>
      <c r="AW68">
        <v>0.16495994</v>
      </c>
      <c r="AX68">
        <v>0.18527969999999999</v>
      </c>
      <c r="AY68">
        <v>0.11317990999999999</v>
      </c>
      <c r="AZ68">
        <v>0</v>
      </c>
      <c r="BA68">
        <v>4684971.3</v>
      </c>
      <c r="BB68">
        <v>4424705.5</v>
      </c>
    </row>
    <row r="69" spans="1:54" x14ac:dyDescent="0.2">
      <c r="A69" t="s">
        <v>151</v>
      </c>
      <c r="B69" t="s">
        <v>138</v>
      </c>
      <c r="C69">
        <v>2.0638072E-3</v>
      </c>
      <c r="D69">
        <v>1.3480598E-3</v>
      </c>
      <c r="E69">
        <v>1.8494461000000001E-3</v>
      </c>
      <c r="F69">
        <v>1.7644857999999999E-3</v>
      </c>
      <c r="G69">
        <v>1.6553793999999999E-3</v>
      </c>
      <c r="H69">
        <v>1.9480356E-4</v>
      </c>
      <c r="I69">
        <v>8.5244471000000004E-4</v>
      </c>
      <c r="J69">
        <v>9.3574505999999996E-4</v>
      </c>
      <c r="K69">
        <v>4.9850388000000003E-4</v>
      </c>
      <c r="L69">
        <v>1.1607477E-3</v>
      </c>
      <c r="M69">
        <v>4.2105122000000002E-4</v>
      </c>
      <c r="N69">
        <v>3.0879178000000002E-4</v>
      </c>
      <c r="O69">
        <v>3.1644339999999999E-4</v>
      </c>
      <c r="P69">
        <v>2.4503064999999999E-3</v>
      </c>
      <c r="Q69" s="1">
        <v>2.8424175E-5</v>
      </c>
      <c r="R69">
        <v>1.2095875E-4</v>
      </c>
      <c r="S69">
        <v>2.2734563E-4</v>
      </c>
      <c r="T69">
        <v>2.4526696999999998E-4</v>
      </c>
      <c r="U69">
        <v>8.8208801000000002E-4</v>
      </c>
      <c r="V69">
        <v>2.0449068000000001E-4</v>
      </c>
      <c r="W69">
        <v>6.4676482000000004E-3</v>
      </c>
      <c r="X69">
        <v>4.512052E-4</v>
      </c>
      <c r="Y69">
        <v>9.9593046999999994E-3</v>
      </c>
      <c r="Z69">
        <v>3.7594158000000002E-3</v>
      </c>
      <c r="AA69">
        <v>6.7447670000000004</v>
      </c>
      <c r="AB69">
        <v>2.5093107000000002E-4</v>
      </c>
      <c r="AC69">
        <v>8.0408242000000005E-2</v>
      </c>
      <c r="AD69" s="1">
        <v>7.3666324000000002E-5</v>
      </c>
      <c r="AE69">
        <v>7.4626415000000001E-4</v>
      </c>
      <c r="AF69">
        <v>7.0350711999999998E-4</v>
      </c>
      <c r="AG69">
        <v>2.3179016E-3</v>
      </c>
      <c r="AH69" s="1">
        <v>3.3588900999999998E-6</v>
      </c>
      <c r="AI69" s="1">
        <v>3.6271090000000001E-4</v>
      </c>
      <c r="AJ69" s="1">
        <v>8.9652167999999994E-5</v>
      </c>
      <c r="AK69" s="1">
        <v>6.6218592999999997E-5</v>
      </c>
      <c r="AL69" s="1">
        <v>2.5915916000000001E-5</v>
      </c>
      <c r="AM69" s="1">
        <v>5.8092487000000003E-6</v>
      </c>
      <c r="AN69" s="1">
        <v>8.5827779000000001E-6</v>
      </c>
      <c r="AO69" s="1">
        <v>0</v>
      </c>
      <c r="AP69" s="1">
        <v>9.0289465999999997E-5</v>
      </c>
      <c r="AQ69" s="1">
        <v>1.0177007E-4</v>
      </c>
      <c r="AR69" s="1">
        <v>7.3867764000000001E-6</v>
      </c>
      <c r="AS69" s="1">
        <v>6.8726912999999996E-6</v>
      </c>
      <c r="AT69" s="1">
        <v>1.0455406E-5</v>
      </c>
      <c r="AU69" s="1">
        <v>9.6191001000000007E-6</v>
      </c>
      <c r="AV69" s="1">
        <v>1.0209393E-5</v>
      </c>
      <c r="AW69" s="1">
        <v>1.0567049E-5</v>
      </c>
      <c r="AX69" s="1">
        <v>8.6209190999999993E-6</v>
      </c>
      <c r="AY69" s="1">
        <v>6.3905014000000004E-5</v>
      </c>
      <c r="AZ69">
        <v>0</v>
      </c>
      <c r="BA69">
        <v>14.866152</v>
      </c>
      <c r="BB69">
        <v>14.041681000000001</v>
      </c>
    </row>
    <row r="70" spans="1:54" x14ac:dyDescent="0.2">
      <c r="A70" t="s">
        <v>152</v>
      </c>
      <c r="B70" t="s">
        <v>138</v>
      </c>
      <c r="C70">
        <v>7.9368751000000001E-2</v>
      </c>
      <c r="D70">
        <v>6.1937328E-2</v>
      </c>
      <c r="E70">
        <v>7.9470430999999994E-2</v>
      </c>
      <c r="F70">
        <v>7.3064123999999994E-2</v>
      </c>
      <c r="G70">
        <v>7.0780066000000003E-2</v>
      </c>
      <c r="H70">
        <v>5.6637683000000001E-3</v>
      </c>
      <c r="I70">
        <v>1.9872171000000001E-2</v>
      </c>
      <c r="J70">
        <v>0.10921765999999999</v>
      </c>
      <c r="K70">
        <v>0.11661961999999999</v>
      </c>
      <c r="L70">
        <v>0.18053959</v>
      </c>
      <c r="M70">
        <v>9.6060891999999995E-2</v>
      </c>
      <c r="N70">
        <v>7.7459576000000002E-2</v>
      </c>
      <c r="O70">
        <v>2.1767414999999998E-2</v>
      </c>
      <c r="P70">
        <v>8.1924256000000001E-2</v>
      </c>
      <c r="Q70">
        <v>7.7586245000000002E-3</v>
      </c>
      <c r="R70">
        <v>1.4619748E-2</v>
      </c>
      <c r="S70">
        <v>1.5491857E-2</v>
      </c>
      <c r="T70">
        <v>1.8758118000000001E-2</v>
      </c>
      <c r="U70">
        <v>4.6513507000000003E-2</v>
      </c>
      <c r="V70">
        <v>8.8358952000000004E-2</v>
      </c>
      <c r="W70">
        <v>35.672989000000001</v>
      </c>
      <c r="X70">
        <v>0.22259804999999999</v>
      </c>
      <c r="Y70">
        <v>54.243625000000002</v>
      </c>
      <c r="Z70">
        <v>48.914315999999999</v>
      </c>
      <c r="AA70">
        <v>60.515329999999999</v>
      </c>
      <c r="AB70">
        <v>20.068777999999998</v>
      </c>
      <c r="AC70">
        <v>2.1245973999999999</v>
      </c>
      <c r="AD70">
        <v>5.4297943999999996</v>
      </c>
      <c r="AE70">
        <v>0.2867459</v>
      </c>
      <c r="AF70">
        <v>20.525569999999998</v>
      </c>
      <c r="AG70">
        <v>0.84080427000000002</v>
      </c>
      <c r="AH70">
        <v>0.13191354999999999</v>
      </c>
      <c r="AI70">
        <v>7.2564224999999996E-2</v>
      </c>
      <c r="AJ70">
        <v>1.5466367999999999E-2</v>
      </c>
      <c r="AK70">
        <v>1.6354637000000002E-2</v>
      </c>
      <c r="AL70">
        <v>2.2387043999999999E-3</v>
      </c>
      <c r="AM70">
        <v>3.9490077000000002E-4</v>
      </c>
      <c r="AN70">
        <v>5.1878646000000004E-4</v>
      </c>
      <c r="AO70">
        <v>0</v>
      </c>
      <c r="AP70">
        <v>0.35334364000000001</v>
      </c>
      <c r="AQ70">
        <v>0.21288441</v>
      </c>
      <c r="AR70">
        <v>2.0404007000000002E-3</v>
      </c>
      <c r="AS70">
        <v>1.9895398000000001E-3</v>
      </c>
      <c r="AT70">
        <v>4.6222959999999997E-3</v>
      </c>
      <c r="AU70">
        <v>2.5318720999999999E-2</v>
      </c>
      <c r="AV70">
        <v>3.5144372E-2</v>
      </c>
      <c r="AW70">
        <v>2.9028477E-2</v>
      </c>
      <c r="AX70">
        <v>3.2744145000000002E-2</v>
      </c>
      <c r="AY70">
        <v>1.28495E-2</v>
      </c>
      <c r="AZ70">
        <v>0</v>
      </c>
      <c r="BA70">
        <v>378.80497000000003</v>
      </c>
      <c r="BB70">
        <v>358.30083000000002</v>
      </c>
    </row>
    <row r="71" spans="1:54" x14ac:dyDescent="0.2">
      <c r="A71" t="s">
        <v>153</v>
      </c>
      <c r="B71" t="s">
        <v>138</v>
      </c>
      <c r="C71">
        <v>3.6371585999999997E-2</v>
      </c>
      <c r="D71">
        <v>3.3635674999999997E-2</v>
      </c>
      <c r="E71">
        <v>4.1619284999999999E-2</v>
      </c>
      <c r="F71">
        <v>3.2132195000000002E-2</v>
      </c>
      <c r="G71">
        <v>3.6813179000000001E-2</v>
      </c>
      <c r="H71">
        <v>2.0546393000000001E-3</v>
      </c>
      <c r="I71">
        <v>4.9729368000000001E-3</v>
      </c>
      <c r="J71">
        <v>7.9336290000000004E-2</v>
      </c>
      <c r="K71">
        <v>9.2582458000000006E-2</v>
      </c>
      <c r="L71">
        <v>4.8761328E-2</v>
      </c>
      <c r="M71">
        <v>1.8651727E-2</v>
      </c>
      <c r="N71">
        <v>1.6935921E-2</v>
      </c>
      <c r="O71">
        <v>1.1753939E-2</v>
      </c>
      <c r="P71">
        <v>1.3649303E-2</v>
      </c>
      <c r="Q71">
        <v>8.7182658999999992E-3</v>
      </c>
      <c r="R71">
        <v>5.6290267000000003E-3</v>
      </c>
      <c r="S71">
        <v>8.6818672000000003E-3</v>
      </c>
      <c r="T71">
        <v>1.0963878E-2</v>
      </c>
      <c r="U71">
        <v>2.7524824E-2</v>
      </c>
      <c r="V71">
        <v>9.8627355000000007E-3</v>
      </c>
      <c r="W71">
        <v>1.5264106E-2</v>
      </c>
      <c r="X71">
        <v>4.9308141999999999E-2</v>
      </c>
      <c r="Y71">
        <v>5.7507963000000002E-2</v>
      </c>
      <c r="Z71">
        <v>3.9435596000000003E-2</v>
      </c>
      <c r="AA71">
        <v>3.6044432000000001E-2</v>
      </c>
      <c r="AB71">
        <v>1.6659038999999999E-3</v>
      </c>
      <c r="AC71">
        <v>0.72763206000000002</v>
      </c>
      <c r="AD71">
        <v>7.7769546000000002E-3</v>
      </c>
      <c r="AE71">
        <v>2.4235665999999999E-2</v>
      </c>
      <c r="AF71">
        <v>2.8852234000000001E-2</v>
      </c>
      <c r="AG71">
        <v>190.94777999999999</v>
      </c>
      <c r="AH71">
        <v>1.4118130000000001E-4</v>
      </c>
      <c r="AI71">
        <v>3.2989978000000003E-2</v>
      </c>
      <c r="AJ71">
        <v>3.8532356000000001</v>
      </c>
      <c r="AK71">
        <v>3.8544646</v>
      </c>
      <c r="AL71">
        <v>3.8708190999999998</v>
      </c>
      <c r="AM71">
        <v>1.9732243000000001E-4</v>
      </c>
      <c r="AN71">
        <v>2.6048818E-4</v>
      </c>
      <c r="AO71">
        <v>0</v>
      </c>
      <c r="AP71">
        <v>1.3450787</v>
      </c>
      <c r="AQ71">
        <v>0.18361572000000001</v>
      </c>
      <c r="AR71">
        <v>1.144882</v>
      </c>
      <c r="AS71">
        <v>1.1327567999999999</v>
      </c>
      <c r="AT71">
        <v>1.5115905000000001</v>
      </c>
      <c r="AU71">
        <v>0.83984004000000001</v>
      </c>
      <c r="AV71">
        <v>0.13349426</v>
      </c>
      <c r="AW71">
        <v>0.81584201999999995</v>
      </c>
      <c r="AX71">
        <v>0.12455264000000001</v>
      </c>
      <c r="AY71">
        <v>7.1777338999999998</v>
      </c>
      <c r="AZ71">
        <v>0</v>
      </c>
      <c r="BA71">
        <v>395.54798</v>
      </c>
      <c r="BB71">
        <v>375.79270000000002</v>
      </c>
    </row>
    <row r="72" spans="1:54" x14ac:dyDescent="0.2">
      <c r="A72" t="s">
        <v>146</v>
      </c>
      <c r="B72" t="s">
        <v>138</v>
      </c>
      <c r="C72">
        <v>0.14543323999999999</v>
      </c>
      <c r="D72">
        <v>0.13297827000000001</v>
      </c>
      <c r="E72">
        <v>0.17703938</v>
      </c>
      <c r="F72">
        <v>0.24948049999999999</v>
      </c>
      <c r="G72">
        <v>0.16347474000000001</v>
      </c>
      <c r="H72">
        <v>0.11259379999999999</v>
      </c>
      <c r="I72">
        <v>3.5371197E-2</v>
      </c>
      <c r="J72">
        <v>0.30098520000000001</v>
      </c>
      <c r="K72">
        <v>0.36873636999999998</v>
      </c>
      <c r="L72">
        <v>0.21789074</v>
      </c>
      <c r="M72">
        <v>8.1672045999999998E-2</v>
      </c>
      <c r="N72">
        <v>7.2095098999999996E-2</v>
      </c>
      <c r="O72">
        <v>5.3558486000000002E-2</v>
      </c>
      <c r="P72">
        <v>7.7056101000000002E-2</v>
      </c>
      <c r="Q72">
        <v>1.2525991E-2</v>
      </c>
      <c r="R72">
        <v>2.4469014000000001E-2</v>
      </c>
      <c r="S72">
        <v>3.3995405999999999E-2</v>
      </c>
      <c r="T72">
        <v>5.6826562999999997E-2</v>
      </c>
      <c r="U72">
        <v>0.14693110000000001</v>
      </c>
      <c r="V72">
        <v>0.21318329</v>
      </c>
      <c r="W72">
        <v>0.16745193999999999</v>
      </c>
      <c r="X72">
        <v>1.0123857000000001</v>
      </c>
      <c r="Y72">
        <v>0.94296093999999997</v>
      </c>
      <c r="Z72">
        <v>0.68294487000000004</v>
      </c>
      <c r="AA72">
        <v>0.5644015</v>
      </c>
      <c r="AB72">
        <v>8.7978724000000001E-3</v>
      </c>
      <c r="AC72">
        <v>2.8996179</v>
      </c>
      <c r="AD72">
        <v>0.12520144999999999</v>
      </c>
      <c r="AE72">
        <v>8.7853239999999999E-2</v>
      </c>
      <c r="AF72">
        <v>0.10608711999999999</v>
      </c>
      <c r="AG72">
        <v>17.304470999999999</v>
      </c>
      <c r="AH72">
        <v>5.8328421999999998E-2</v>
      </c>
      <c r="AI72">
        <v>0.17443966999999999</v>
      </c>
      <c r="AJ72">
        <v>4.4589556000000002E-2</v>
      </c>
      <c r="AK72">
        <v>5.1624806000000002E-2</v>
      </c>
      <c r="AL72">
        <v>9.8745343999999992E-3</v>
      </c>
      <c r="AM72">
        <v>3.7918650999999999</v>
      </c>
      <c r="AN72">
        <v>3.7925219999999999</v>
      </c>
      <c r="AO72">
        <v>0</v>
      </c>
      <c r="AP72">
        <v>0.19639955000000001</v>
      </c>
      <c r="AQ72">
        <v>0.68439691000000002</v>
      </c>
      <c r="AR72">
        <v>1.0498011999999999E-2</v>
      </c>
      <c r="AS72">
        <v>1.0444963999999999E-2</v>
      </c>
      <c r="AT72">
        <v>1.918336E-2</v>
      </c>
      <c r="AU72">
        <v>1.4449727000000001E-2</v>
      </c>
      <c r="AV72">
        <v>1.9986896000000001E-2</v>
      </c>
      <c r="AW72">
        <v>1.6511726000000001E-2</v>
      </c>
      <c r="AX72">
        <v>1.8265877E-2</v>
      </c>
      <c r="AY72">
        <v>7.0062453999999996E-2</v>
      </c>
      <c r="AZ72">
        <v>0</v>
      </c>
      <c r="BA72">
        <v>956.41965000000005</v>
      </c>
      <c r="BB72">
        <v>908.90912000000003</v>
      </c>
    </row>
    <row r="74" spans="1:54" ht="16" x14ac:dyDescent="0.2">
      <c r="A74" s="5" t="s">
        <v>364</v>
      </c>
      <c r="C74" t="s">
        <v>154</v>
      </c>
      <c r="D74" t="s">
        <v>155</v>
      </c>
      <c r="E74" t="s">
        <v>156</v>
      </c>
      <c r="F74" t="s">
        <v>157</v>
      </c>
      <c r="G74" t="s">
        <v>158</v>
      </c>
      <c r="H74" t="s">
        <v>159</v>
      </c>
      <c r="I74" t="s">
        <v>160</v>
      </c>
      <c r="J74" t="s">
        <v>161</v>
      </c>
      <c r="K74" t="s">
        <v>162</v>
      </c>
      <c r="L74" t="s">
        <v>163</v>
      </c>
      <c r="M74" t="s">
        <v>164</v>
      </c>
      <c r="N74" t="s">
        <v>165</v>
      </c>
      <c r="O74" t="s">
        <v>166</v>
      </c>
      <c r="P74" t="s">
        <v>167</v>
      </c>
      <c r="Q74" t="s">
        <v>168</v>
      </c>
      <c r="R74" t="s">
        <v>169</v>
      </c>
      <c r="S74" t="s">
        <v>170</v>
      </c>
      <c r="T74" t="s">
        <v>171</v>
      </c>
      <c r="U74" t="s">
        <v>172</v>
      </c>
      <c r="V74" t="s">
        <v>173</v>
      </c>
      <c r="W74" t="s">
        <v>174</v>
      </c>
      <c r="X74" t="s">
        <v>175</v>
      </c>
      <c r="Y74" t="s">
        <v>176</v>
      </c>
      <c r="Z74" t="s">
        <v>177</v>
      </c>
      <c r="AA74" t="s">
        <v>178</v>
      </c>
      <c r="AB74" t="s">
        <v>179</v>
      </c>
      <c r="AC74" t="s">
        <v>180</v>
      </c>
      <c r="AD74" t="s">
        <v>181</v>
      </c>
      <c r="AE74" t="s">
        <v>182</v>
      </c>
      <c r="AF74" t="s">
        <v>183</v>
      </c>
      <c r="AG74" t="s">
        <v>184</v>
      </c>
      <c r="AH74" t="s">
        <v>234</v>
      </c>
      <c r="AI74" t="s">
        <v>233</v>
      </c>
      <c r="AJ74" t="s">
        <v>217</v>
      </c>
      <c r="AK74" t="s">
        <v>216</v>
      </c>
      <c r="AL74" t="s">
        <v>185</v>
      </c>
      <c r="AM74" t="s">
        <v>186</v>
      </c>
      <c r="AN74" t="s">
        <v>187</v>
      </c>
      <c r="AO74" t="s">
        <v>188</v>
      </c>
      <c r="AP74" t="s">
        <v>189</v>
      </c>
      <c r="AQ74" t="s">
        <v>190</v>
      </c>
      <c r="AR74" t="s">
        <v>215</v>
      </c>
      <c r="AS74" t="s">
        <v>214</v>
      </c>
      <c r="AT74" t="s">
        <v>218</v>
      </c>
      <c r="AU74" t="s">
        <v>222</v>
      </c>
      <c r="AV74" t="s">
        <v>221</v>
      </c>
      <c r="AW74" t="s">
        <v>219</v>
      </c>
      <c r="AX74" t="s">
        <v>220</v>
      </c>
      <c r="AY74" t="s">
        <v>191</v>
      </c>
      <c r="AZ74" t="s">
        <v>192</v>
      </c>
      <c r="BA74" t="s">
        <v>653</v>
      </c>
      <c r="BB74" t="s">
        <v>656</v>
      </c>
    </row>
    <row r="75" spans="1:54" ht="131" customHeight="1" x14ac:dyDescent="0.2">
      <c r="A75" s="5" t="s">
        <v>363</v>
      </c>
      <c r="C75" s="23" t="s">
        <v>298</v>
      </c>
      <c r="D75" s="23" t="s">
        <v>299</v>
      </c>
      <c r="E75" s="23" t="s">
        <v>300</v>
      </c>
      <c r="F75" s="23" t="s">
        <v>301</v>
      </c>
      <c r="G75" s="23" t="s">
        <v>302</v>
      </c>
      <c r="H75" s="23" t="s">
        <v>303</v>
      </c>
      <c r="I75" s="23" t="s">
        <v>304</v>
      </c>
      <c r="J75" s="23" t="s">
        <v>305</v>
      </c>
      <c r="K75" s="23" t="s">
        <v>306</v>
      </c>
      <c r="L75" s="23" t="s">
        <v>307</v>
      </c>
      <c r="M75" s="23" t="s">
        <v>308</v>
      </c>
      <c r="N75" s="23" t="s">
        <v>309</v>
      </c>
      <c r="O75" s="23" t="s">
        <v>310</v>
      </c>
      <c r="P75" s="23" t="s">
        <v>311</v>
      </c>
      <c r="Q75" s="23" t="s">
        <v>312</v>
      </c>
      <c r="R75" s="23" t="s">
        <v>313</v>
      </c>
      <c r="S75" s="23" t="s">
        <v>314</v>
      </c>
      <c r="T75" s="23" t="s">
        <v>315</v>
      </c>
      <c r="U75" s="23" t="s">
        <v>316</v>
      </c>
      <c r="V75" s="23" t="s">
        <v>317</v>
      </c>
      <c r="W75" s="23" t="s">
        <v>318</v>
      </c>
      <c r="X75" s="23" t="s">
        <v>319</v>
      </c>
      <c r="Y75" s="23" t="s">
        <v>320</v>
      </c>
      <c r="Z75" s="23" t="s">
        <v>321</v>
      </c>
      <c r="AA75" s="23" t="s">
        <v>322</v>
      </c>
      <c r="AB75" s="23" t="s">
        <v>323</v>
      </c>
      <c r="AC75" s="23" t="s">
        <v>324</v>
      </c>
      <c r="AD75" s="23" t="s">
        <v>325</v>
      </c>
      <c r="AE75" s="23" t="s">
        <v>326</v>
      </c>
      <c r="AF75" s="23" t="s">
        <v>327</v>
      </c>
      <c r="AG75" s="23" t="s">
        <v>328</v>
      </c>
      <c r="AH75" s="23" t="s">
        <v>329</v>
      </c>
      <c r="AI75" s="23" t="s">
        <v>330</v>
      </c>
      <c r="AJ75" s="23" t="s">
        <v>331</v>
      </c>
      <c r="AK75" s="23" t="s">
        <v>332</v>
      </c>
      <c r="AL75" s="23" t="s">
        <v>333</v>
      </c>
      <c r="AM75" s="23" t="s">
        <v>334</v>
      </c>
      <c r="AN75" s="23" t="s">
        <v>335</v>
      </c>
      <c r="AO75" s="23" t="s">
        <v>336</v>
      </c>
      <c r="AP75" s="23" t="s">
        <v>337</v>
      </c>
      <c r="AQ75" s="23" t="s">
        <v>338</v>
      </c>
      <c r="AR75" s="23" t="s">
        <v>339</v>
      </c>
      <c r="AS75" s="23" t="s">
        <v>340</v>
      </c>
      <c r="AT75" s="23" t="s">
        <v>341</v>
      </c>
      <c r="AU75" s="23" t="s">
        <v>342</v>
      </c>
      <c r="AV75" s="23" t="s">
        <v>343</v>
      </c>
      <c r="AW75" s="23" t="s">
        <v>344</v>
      </c>
      <c r="AX75" s="23" t="s">
        <v>345</v>
      </c>
      <c r="AY75" s="23" t="s">
        <v>346</v>
      </c>
      <c r="AZ75" s="23" t="s">
        <v>347</v>
      </c>
      <c r="BA75" s="5" t="s">
        <v>654</v>
      </c>
      <c r="BB75" s="5" t="s">
        <v>655</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24442-27C1-46A7-B49B-0FCD336E3DC5}">
  <dimension ref="A2:BB78"/>
  <sheetViews>
    <sheetView topLeftCell="A55" zoomScaleNormal="100" workbookViewId="0">
      <pane xSplit="2" topLeftCell="C1" activePane="topRight" state="frozen"/>
      <selection activeCell="R54" sqref="R54"/>
      <selection pane="topRight" activeCell="H67" sqref="H67"/>
    </sheetView>
  </sheetViews>
  <sheetFormatPr baseColWidth="10" defaultColWidth="10.83203125" defaultRowHeight="15" x14ac:dyDescent="0.2"/>
  <cols>
    <col min="1" max="1" width="25.33203125" customWidth="1"/>
    <col min="2" max="2" width="77.33203125" customWidth="1"/>
  </cols>
  <sheetData>
    <row r="2" spans="1:2" x14ac:dyDescent="0.2">
      <c r="A2" t="s">
        <v>0</v>
      </c>
      <c r="B2" t="s">
        <v>1</v>
      </c>
    </row>
    <row r="3" spans="1:2" x14ac:dyDescent="0.2">
      <c r="A3" t="s">
        <v>2</v>
      </c>
      <c r="B3" t="s">
        <v>3</v>
      </c>
    </row>
    <row r="4" spans="1:2" x14ac:dyDescent="0.2">
      <c r="A4" t="s">
        <v>4</v>
      </c>
      <c r="B4" t="s">
        <v>601</v>
      </c>
    </row>
    <row r="5" spans="1:2" x14ac:dyDescent="0.2">
      <c r="A5" t="s">
        <v>5</v>
      </c>
      <c r="B5" t="s">
        <v>602</v>
      </c>
    </row>
    <row r="6" spans="1:2" x14ac:dyDescent="0.2">
      <c r="A6" t="s">
        <v>6</v>
      </c>
      <c r="B6" t="s">
        <v>603</v>
      </c>
    </row>
    <row r="7" spans="1:2" x14ac:dyDescent="0.2">
      <c r="A7" t="s">
        <v>7</v>
      </c>
      <c r="B7" t="s">
        <v>604</v>
      </c>
    </row>
    <row r="8" spans="1:2" x14ac:dyDescent="0.2">
      <c r="A8" t="s">
        <v>8</v>
      </c>
      <c r="B8" t="s">
        <v>605</v>
      </c>
    </row>
    <row r="9" spans="1:2" x14ac:dyDescent="0.2">
      <c r="A9" t="s">
        <v>10</v>
      </c>
      <c r="B9" t="s">
        <v>606</v>
      </c>
    </row>
    <row r="10" spans="1:2" x14ac:dyDescent="0.2">
      <c r="A10" t="s">
        <v>11</v>
      </c>
      <c r="B10" t="s">
        <v>607</v>
      </c>
    </row>
    <row r="11" spans="1:2" x14ac:dyDescent="0.2">
      <c r="A11" t="s">
        <v>13</v>
      </c>
      <c r="B11" t="s">
        <v>608</v>
      </c>
    </row>
    <row r="12" spans="1:2" x14ac:dyDescent="0.2">
      <c r="A12" t="s">
        <v>15</v>
      </c>
      <c r="B12" t="s">
        <v>609</v>
      </c>
    </row>
    <row r="13" spans="1:2" x14ac:dyDescent="0.2">
      <c r="A13" t="s">
        <v>17</v>
      </c>
      <c r="B13" t="s">
        <v>610</v>
      </c>
    </row>
    <row r="14" spans="1:2" x14ac:dyDescent="0.2">
      <c r="A14" t="s">
        <v>18</v>
      </c>
      <c r="B14" t="s">
        <v>611</v>
      </c>
    </row>
    <row r="15" spans="1:2" x14ac:dyDescent="0.2">
      <c r="A15" t="s">
        <v>19</v>
      </c>
      <c r="B15" t="s">
        <v>612</v>
      </c>
    </row>
    <row r="16" spans="1:2" x14ac:dyDescent="0.2">
      <c r="A16" t="s">
        <v>20</v>
      </c>
      <c r="B16" t="s">
        <v>613</v>
      </c>
    </row>
    <row r="17" spans="1:2" x14ac:dyDescent="0.2">
      <c r="A17" t="s">
        <v>21</v>
      </c>
      <c r="B17" t="s">
        <v>614</v>
      </c>
    </row>
    <row r="18" spans="1:2" x14ac:dyDescent="0.2">
      <c r="A18" t="s">
        <v>22</v>
      </c>
      <c r="B18" t="s">
        <v>615</v>
      </c>
    </row>
    <row r="19" spans="1:2" x14ac:dyDescent="0.2">
      <c r="A19" t="s">
        <v>23</v>
      </c>
      <c r="B19" t="s">
        <v>616</v>
      </c>
    </row>
    <row r="20" spans="1:2" x14ac:dyDescent="0.2">
      <c r="A20" t="s">
        <v>24</v>
      </c>
      <c r="B20" t="s">
        <v>617</v>
      </c>
    </row>
    <row r="21" spans="1:2" x14ac:dyDescent="0.2">
      <c r="A21" t="s">
        <v>25</v>
      </c>
      <c r="B21" t="s">
        <v>618</v>
      </c>
    </row>
    <row r="22" spans="1:2" x14ac:dyDescent="0.2">
      <c r="A22" t="s">
        <v>26</v>
      </c>
      <c r="B22" t="s">
        <v>619</v>
      </c>
    </row>
    <row r="23" spans="1:2" x14ac:dyDescent="0.2">
      <c r="A23" t="s">
        <v>27</v>
      </c>
      <c r="B23" t="s">
        <v>620</v>
      </c>
    </row>
    <row r="24" spans="1:2" x14ac:dyDescent="0.2">
      <c r="A24" t="s">
        <v>29</v>
      </c>
      <c r="B24" t="s">
        <v>621</v>
      </c>
    </row>
    <row r="25" spans="1:2" x14ac:dyDescent="0.2">
      <c r="A25" t="s">
        <v>31</v>
      </c>
      <c r="B25" t="s">
        <v>622</v>
      </c>
    </row>
    <row r="26" spans="1:2" x14ac:dyDescent="0.2">
      <c r="A26" t="s">
        <v>33</v>
      </c>
      <c r="B26" t="s">
        <v>623</v>
      </c>
    </row>
    <row r="27" spans="1:2" x14ac:dyDescent="0.2">
      <c r="A27" t="s">
        <v>34</v>
      </c>
      <c r="B27" t="s">
        <v>624</v>
      </c>
    </row>
    <row r="28" spans="1:2" x14ac:dyDescent="0.2">
      <c r="A28" t="s">
        <v>36</v>
      </c>
      <c r="B28" t="s">
        <v>625</v>
      </c>
    </row>
    <row r="29" spans="1:2" x14ac:dyDescent="0.2">
      <c r="A29" t="s">
        <v>37</v>
      </c>
      <c r="B29" t="s">
        <v>626</v>
      </c>
    </row>
    <row r="30" spans="1:2" x14ac:dyDescent="0.2">
      <c r="A30" t="s">
        <v>39</v>
      </c>
      <c r="B30" t="s">
        <v>627</v>
      </c>
    </row>
    <row r="31" spans="1:2" x14ac:dyDescent="0.2">
      <c r="A31" t="s">
        <v>41</v>
      </c>
      <c r="B31" t="s">
        <v>42</v>
      </c>
    </row>
    <row r="32" spans="1:2" x14ac:dyDescent="0.2">
      <c r="A32" t="s">
        <v>43</v>
      </c>
      <c r="B32" t="s">
        <v>628</v>
      </c>
    </row>
    <row r="33" spans="1:2" x14ac:dyDescent="0.2">
      <c r="A33" t="s">
        <v>44</v>
      </c>
      <c r="B33" t="s">
        <v>629</v>
      </c>
    </row>
    <row r="34" spans="1:2" x14ac:dyDescent="0.2">
      <c r="A34" t="s">
        <v>46</v>
      </c>
      <c r="B34" t="s">
        <v>630</v>
      </c>
    </row>
    <row r="35" spans="1:2" x14ac:dyDescent="0.2">
      <c r="A35" t="s">
        <v>47</v>
      </c>
      <c r="B35" t="s">
        <v>631</v>
      </c>
    </row>
    <row r="36" spans="1:2" x14ac:dyDescent="0.2">
      <c r="A36" t="s">
        <v>49</v>
      </c>
      <c r="B36" t="s">
        <v>239</v>
      </c>
    </row>
    <row r="37" spans="1:2" x14ac:dyDescent="0.2">
      <c r="A37" t="s">
        <v>50</v>
      </c>
      <c r="B37" t="s">
        <v>632</v>
      </c>
    </row>
    <row r="38" spans="1:2" x14ac:dyDescent="0.2">
      <c r="A38" t="s">
        <v>51</v>
      </c>
      <c r="B38" t="s">
        <v>633</v>
      </c>
    </row>
    <row r="39" spans="1:2" x14ac:dyDescent="0.2">
      <c r="A39" t="s">
        <v>53</v>
      </c>
      <c r="B39" t="s">
        <v>634</v>
      </c>
    </row>
    <row r="40" spans="1:2" x14ac:dyDescent="0.2">
      <c r="A40" t="s">
        <v>55</v>
      </c>
      <c r="B40" t="s">
        <v>635</v>
      </c>
    </row>
    <row r="41" spans="1:2" x14ac:dyDescent="0.2">
      <c r="A41" t="s">
        <v>57</v>
      </c>
      <c r="B41" t="s">
        <v>636</v>
      </c>
    </row>
    <row r="42" spans="1:2" x14ac:dyDescent="0.2">
      <c r="A42" t="s">
        <v>59</v>
      </c>
      <c r="B42" t="s">
        <v>637</v>
      </c>
    </row>
    <row r="43" spans="1:2" x14ac:dyDescent="0.2">
      <c r="A43" t="s">
        <v>60</v>
      </c>
      <c r="B43" t="s">
        <v>638</v>
      </c>
    </row>
    <row r="44" spans="1:2" x14ac:dyDescent="0.2">
      <c r="A44" t="s">
        <v>61</v>
      </c>
      <c r="B44" t="s">
        <v>639</v>
      </c>
    </row>
    <row r="45" spans="1:2" x14ac:dyDescent="0.2">
      <c r="A45" t="s">
        <v>63</v>
      </c>
      <c r="B45" t="s">
        <v>640</v>
      </c>
    </row>
    <row r="46" spans="1:2" x14ac:dyDescent="0.2">
      <c r="A46" t="s">
        <v>65</v>
      </c>
      <c r="B46" t="s">
        <v>641</v>
      </c>
    </row>
    <row r="47" spans="1:2" x14ac:dyDescent="0.2">
      <c r="A47" t="s">
        <v>67</v>
      </c>
      <c r="B47" t="s">
        <v>642</v>
      </c>
    </row>
    <row r="48" spans="1:2" x14ac:dyDescent="0.2">
      <c r="A48" t="s">
        <v>68</v>
      </c>
      <c r="B48" t="s">
        <v>643</v>
      </c>
    </row>
    <row r="49" spans="1:2" x14ac:dyDescent="0.2">
      <c r="A49" t="s">
        <v>69</v>
      </c>
      <c r="B49" t="s">
        <v>644</v>
      </c>
    </row>
    <row r="50" spans="1:2" x14ac:dyDescent="0.2">
      <c r="A50" t="s">
        <v>70</v>
      </c>
      <c r="B50" t="s">
        <v>645</v>
      </c>
    </row>
    <row r="51" spans="1:2" x14ac:dyDescent="0.2">
      <c r="A51" t="s">
        <v>71</v>
      </c>
      <c r="B51" t="s">
        <v>646</v>
      </c>
    </row>
    <row r="52" spans="1:2" x14ac:dyDescent="0.2">
      <c r="A52" t="s">
        <v>73</v>
      </c>
      <c r="B52" t="s">
        <v>72</v>
      </c>
    </row>
    <row r="53" spans="1:2" x14ac:dyDescent="0.2">
      <c r="A53" t="s">
        <v>227</v>
      </c>
      <c r="B53" t="s">
        <v>647</v>
      </c>
    </row>
    <row r="54" spans="1:2" x14ac:dyDescent="0.2">
      <c r="A54" t="s">
        <v>648</v>
      </c>
      <c r="B54" t="s">
        <v>649</v>
      </c>
    </row>
    <row r="55" spans="1:2" x14ac:dyDescent="0.2">
      <c r="A55" t="s">
        <v>650</v>
      </c>
      <c r="B55" t="s">
        <v>651</v>
      </c>
    </row>
    <row r="56" spans="1:2" x14ac:dyDescent="0.2">
      <c r="A56" t="s">
        <v>75</v>
      </c>
      <c r="B56" t="s">
        <v>204</v>
      </c>
    </row>
    <row r="57" spans="1:2" x14ac:dyDescent="0.2">
      <c r="A57" t="s">
        <v>77</v>
      </c>
      <c r="B57" t="s">
        <v>78</v>
      </c>
    </row>
    <row r="58" spans="1:2" x14ac:dyDescent="0.2">
      <c r="A58" t="s">
        <v>79</v>
      </c>
      <c r="B58" t="s">
        <v>80</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s="5" customFormat="1" ht="192" x14ac:dyDescent="0.2">
      <c r="A65" s="5" t="s">
        <v>87</v>
      </c>
      <c r="B65" s="5" t="s">
        <v>90</v>
      </c>
      <c r="C65" s="5" t="s">
        <v>91</v>
      </c>
      <c r="D65" s="5" t="s">
        <v>92</v>
      </c>
      <c r="E65" s="5" t="s">
        <v>93</v>
      </c>
      <c r="F65" s="5" t="s">
        <v>94</v>
      </c>
      <c r="G65" s="5" t="s">
        <v>95</v>
      </c>
      <c r="H65" s="5" t="s">
        <v>229</v>
      </c>
      <c r="I65" s="5" t="s">
        <v>96</v>
      </c>
      <c r="J65" s="5" t="s">
        <v>97</v>
      </c>
      <c r="K65" s="5" t="s">
        <v>98</v>
      </c>
      <c r="L65" s="5" t="s">
        <v>99</v>
      </c>
      <c r="M65" s="5" t="s">
        <v>100</v>
      </c>
      <c r="N65" s="5" t="s">
        <v>101</v>
      </c>
      <c r="O65" s="5" t="s">
        <v>102</v>
      </c>
      <c r="P65" s="5" t="s">
        <v>103</v>
      </c>
      <c r="Q65" s="5" t="s">
        <v>104</v>
      </c>
      <c r="R65" s="5" t="s">
        <v>105</v>
      </c>
      <c r="S65" s="5" t="s">
        <v>106</v>
      </c>
      <c r="T65" s="5" t="s">
        <v>107</v>
      </c>
      <c r="U65" s="5" t="s">
        <v>108</v>
      </c>
      <c r="V65" s="5" t="s">
        <v>109</v>
      </c>
      <c r="W65" s="5" t="s">
        <v>110</v>
      </c>
      <c r="X65" s="5" t="s">
        <v>111</v>
      </c>
      <c r="Y65" s="5" t="s">
        <v>112</v>
      </c>
      <c r="Z65" s="5" t="s">
        <v>113</v>
      </c>
      <c r="AA65" s="5" t="s">
        <v>114</v>
      </c>
      <c r="AB65" s="5" t="s">
        <v>115</v>
      </c>
      <c r="AC65" s="5" t="s">
        <v>116</v>
      </c>
      <c r="AD65" s="5" t="s">
        <v>117</v>
      </c>
      <c r="AE65" s="5" t="s">
        <v>118</v>
      </c>
      <c r="AF65" s="5" t="s">
        <v>119</v>
      </c>
      <c r="AG65" s="5" t="s">
        <v>120</v>
      </c>
      <c r="AH65" s="5" t="s">
        <v>121</v>
      </c>
      <c r="AI65" s="5" t="s">
        <v>241</v>
      </c>
      <c r="AJ65" s="5" t="s">
        <v>122</v>
      </c>
      <c r="AK65" s="5" t="s">
        <v>123</v>
      </c>
      <c r="AL65" s="5" t="s">
        <v>124</v>
      </c>
      <c r="AM65" s="5" t="s">
        <v>125</v>
      </c>
      <c r="AN65" s="5" t="s">
        <v>126</v>
      </c>
      <c r="AO65" s="5" t="s">
        <v>127</v>
      </c>
      <c r="AP65" s="5" t="s">
        <v>242</v>
      </c>
      <c r="AQ65" s="5" t="s">
        <v>232</v>
      </c>
      <c r="AR65" s="5" t="s">
        <v>128</v>
      </c>
      <c r="AS65" s="5" t="s">
        <v>129</v>
      </c>
      <c r="AT65" s="5" t="s">
        <v>130</v>
      </c>
      <c r="AU65" s="5" t="s">
        <v>131</v>
      </c>
      <c r="AV65" s="5" t="s">
        <v>132</v>
      </c>
      <c r="AW65" s="5" t="s">
        <v>133</v>
      </c>
      <c r="AX65" s="5" t="s">
        <v>134</v>
      </c>
      <c r="AY65" s="5" t="s">
        <v>135</v>
      </c>
      <c r="AZ65" s="5" t="s">
        <v>136</v>
      </c>
      <c r="BA65" s="5" t="s">
        <v>600</v>
      </c>
      <c r="BB65" s="5" t="s">
        <v>652</v>
      </c>
    </row>
    <row r="66" spans="1:54" x14ac:dyDescent="0.2">
      <c r="A66" t="s">
        <v>137</v>
      </c>
      <c r="B66" t="s">
        <v>194</v>
      </c>
      <c r="C66">
        <v>0.87477159999999998</v>
      </c>
      <c r="D66">
        <v>0.64527084999999995</v>
      </c>
      <c r="E66">
        <v>0.93962798000000003</v>
      </c>
      <c r="F66">
        <v>0.73275721999999999</v>
      </c>
      <c r="G66">
        <v>0.81325082999999998</v>
      </c>
      <c r="H66">
        <v>0.1066246</v>
      </c>
      <c r="I66">
        <v>0.88686076000000003</v>
      </c>
      <c r="J66">
        <v>1.0973134</v>
      </c>
      <c r="K66">
        <v>0.90990722000000002</v>
      </c>
      <c r="L66">
        <v>0.47431436999999999</v>
      </c>
      <c r="M66">
        <v>0.23049895000000001</v>
      </c>
      <c r="N66">
        <v>0.26834954</v>
      </c>
      <c r="O66">
        <v>0.12668802000000001</v>
      </c>
      <c r="P66">
        <v>0.40057738999999998</v>
      </c>
      <c r="Q66">
        <v>2.9413521000000001E-2</v>
      </c>
      <c r="R66">
        <v>5.0578476999999997E-2</v>
      </c>
      <c r="S66">
        <v>0.10991257</v>
      </c>
      <c r="T66">
        <v>0.17863202</v>
      </c>
      <c r="U66">
        <v>0.13434995999999999</v>
      </c>
      <c r="V66">
        <v>0.41478690000000001</v>
      </c>
      <c r="W66">
        <v>0.99898938000000004</v>
      </c>
      <c r="X66">
        <v>1.1311431999999999</v>
      </c>
      <c r="Y66">
        <v>2.0180210000000001</v>
      </c>
      <c r="Z66">
        <v>2.4007455000000002</v>
      </c>
      <c r="AA66">
        <v>1.8223796999999999</v>
      </c>
      <c r="AB66">
        <v>3.7261176999999999E-2</v>
      </c>
      <c r="AC66">
        <v>4.4600451999999997</v>
      </c>
      <c r="AD66">
        <v>5.7676601000000001E-2</v>
      </c>
      <c r="AE66">
        <v>9.7286948999999998E-2</v>
      </c>
      <c r="AF66">
        <v>0.11787089000000001</v>
      </c>
      <c r="AG66">
        <v>1.9296698999999999</v>
      </c>
      <c r="AH66">
        <v>1.7874544999999999</v>
      </c>
      <c r="AI66">
        <v>1.5923413</v>
      </c>
      <c r="AJ66">
        <v>4.0411085999999999E-2</v>
      </c>
      <c r="AK66">
        <v>4.1897987999999997E-2</v>
      </c>
      <c r="AL66">
        <v>1.1364337E-2</v>
      </c>
      <c r="AM66">
        <v>4.0116214000000001E-3</v>
      </c>
      <c r="AN66">
        <v>1.6989896000000001E-2</v>
      </c>
      <c r="AO66">
        <v>0</v>
      </c>
      <c r="AP66">
        <v>0.47567072999999999</v>
      </c>
      <c r="AQ66">
        <v>0.53415751</v>
      </c>
      <c r="AR66">
        <v>4.4952752E-3</v>
      </c>
      <c r="AS66">
        <v>4.1676663000000001E-3</v>
      </c>
      <c r="AT66">
        <v>7.8941758000000001E-3</v>
      </c>
      <c r="AU66">
        <v>4.0095139000000002E-2</v>
      </c>
      <c r="AV66">
        <v>5.5710902999999999E-2</v>
      </c>
      <c r="AW66">
        <v>4.5089206999999999E-2</v>
      </c>
      <c r="AX66">
        <v>4.8258793000000001E-2</v>
      </c>
      <c r="AY66">
        <v>6.7600979000000005E-2</v>
      </c>
      <c r="AZ66">
        <v>0</v>
      </c>
      <c r="BA66">
        <v>2890.2044999999998</v>
      </c>
      <c r="BB66">
        <v>2731.3634000000002</v>
      </c>
    </row>
    <row r="67" spans="1:54" x14ac:dyDescent="0.2">
      <c r="A67" t="s">
        <v>195</v>
      </c>
      <c r="B67" t="s">
        <v>194</v>
      </c>
      <c r="C67" s="1">
        <v>1.9481729999999999E-8</v>
      </c>
      <c r="D67" s="1">
        <v>1.5097278999999999E-8</v>
      </c>
      <c r="E67" s="1">
        <v>1.8426359000000001E-8</v>
      </c>
      <c r="F67" s="1">
        <v>1.7078031999999999E-8</v>
      </c>
      <c r="G67" s="1">
        <v>1.5173853E-8</v>
      </c>
      <c r="H67" s="1">
        <v>1.4137717999999999E-9</v>
      </c>
      <c r="I67" s="1">
        <v>5.5606442E-9</v>
      </c>
      <c r="J67" s="1">
        <v>1.0342954000000001E-8</v>
      </c>
      <c r="K67" s="1">
        <v>7.5422711999999994E-9</v>
      </c>
      <c r="L67" s="1">
        <v>5.6938028999999996E-9</v>
      </c>
      <c r="M67" s="1">
        <v>3.4637840999999999E-9</v>
      </c>
      <c r="N67" s="1">
        <v>3.8683458999999997E-9</v>
      </c>
      <c r="O67" s="1">
        <v>4.3510916999999998E-9</v>
      </c>
      <c r="P67" s="1">
        <v>1.6822346000000001E-8</v>
      </c>
      <c r="Q67" s="1">
        <v>7.8641976000000003E-10</v>
      </c>
      <c r="R67" s="1">
        <v>5.4225208999999997E-10</v>
      </c>
      <c r="S67" s="1">
        <v>8.3625412999999997E-10</v>
      </c>
      <c r="T67" s="1">
        <v>1.1846780999999999E-9</v>
      </c>
      <c r="U67" s="1">
        <v>3.1389728E-9</v>
      </c>
      <c r="V67" s="1">
        <v>1.8784333000000002E-8</v>
      </c>
      <c r="W67" s="1">
        <v>1.2829412999999999E-7</v>
      </c>
      <c r="X67" s="1">
        <v>6.2695477000000003E-7</v>
      </c>
      <c r="Y67" s="1">
        <v>7.9320159999999996E-7</v>
      </c>
      <c r="Z67" s="1">
        <v>2.7656653000000001E-7</v>
      </c>
      <c r="AA67" s="1">
        <v>1.5910966000000001E-7</v>
      </c>
      <c r="AB67" s="1">
        <v>4.3768443000000001E-9</v>
      </c>
      <c r="AC67" s="1">
        <v>6.5497476E-7</v>
      </c>
      <c r="AD67" s="1">
        <v>2.2705437000000001E-8</v>
      </c>
      <c r="AE67" s="1">
        <v>1.3167151E-8</v>
      </c>
      <c r="AF67" s="1">
        <v>1.4039155000000001E-8</v>
      </c>
      <c r="AG67" s="1">
        <v>4.1423332000000001E-5</v>
      </c>
      <c r="AH67" s="1">
        <v>3.1258091999999998E-10</v>
      </c>
      <c r="AI67" s="1">
        <v>1.3719986000000001E-7</v>
      </c>
      <c r="AJ67" s="1">
        <v>3.3551613999999998E-6</v>
      </c>
      <c r="AK67" s="1">
        <v>3.9885114999999998E-6</v>
      </c>
      <c r="AL67" s="1">
        <v>3.3646470999999999E-10</v>
      </c>
      <c r="AM67" s="1">
        <v>7.2468150000000001E-11</v>
      </c>
      <c r="AN67" s="1">
        <v>1.2057250999999999E-10</v>
      </c>
      <c r="AO67" s="1">
        <v>0</v>
      </c>
      <c r="AP67" s="1">
        <v>2.9090158999999999E-7</v>
      </c>
      <c r="AQ67" s="1">
        <v>1.028408E-8</v>
      </c>
      <c r="AR67" s="1">
        <v>2.9143533000000002E-9</v>
      </c>
      <c r="AS67" s="1">
        <v>2.8868466E-9</v>
      </c>
      <c r="AT67" s="1">
        <v>4.5372668000000002E-9</v>
      </c>
      <c r="AU67" s="1">
        <v>2.0946362000000001E-8</v>
      </c>
      <c r="AV67" s="1">
        <v>2.8921020000000001E-8</v>
      </c>
      <c r="AW67" s="1">
        <v>2.4000537999999999E-8</v>
      </c>
      <c r="AX67" s="1">
        <v>2.6950596000000001E-8</v>
      </c>
      <c r="AY67" s="1">
        <v>2.7083907E-8</v>
      </c>
      <c r="AZ67">
        <v>0</v>
      </c>
      <c r="BA67">
        <v>2.5463070000000001E-4</v>
      </c>
      <c r="BB67">
        <v>2.4091039000000001E-4</v>
      </c>
    </row>
    <row r="68" spans="1:54" x14ac:dyDescent="0.2">
      <c r="A68" t="s">
        <v>196</v>
      </c>
      <c r="B68" t="s">
        <v>194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row>
    <row r="69" spans="1:54" x14ac:dyDescent="0.2">
      <c r="A69" t="s">
        <v>197</v>
      </c>
      <c r="B69" t="s">
        <v>194</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row>
    <row r="70" spans="1:54" x14ac:dyDescent="0.2">
      <c r="A70" t="s">
        <v>198</v>
      </c>
      <c r="B70" t="s">
        <v>194</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row>
    <row r="71" spans="1:54" x14ac:dyDescent="0.2">
      <c r="A71" t="s">
        <v>199</v>
      </c>
      <c r="B71" t="s">
        <v>194</v>
      </c>
      <c r="C71">
        <v>0.87429513999999997</v>
      </c>
      <c r="D71">
        <v>0.64491655000000003</v>
      </c>
      <c r="E71">
        <v>0.93915203000000003</v>
      </c>
      <c r="F71">
        <v>0.73226199000000003</v>
      </c>
      <c r="G71">
        <v>0.81281431999999998</v>
      </c>
      <c r="H71">
        <v>0.10654787</v>
      </c>
      <c r="I71">
        <v>0.88669737000000004</v>
      </c>
      <c r="J71">
        <v>1.0967948000000001</v>
      </c>
      <c r="K71">
        <v>0.90930628000000002</v>
      </c>
      <c r="L71">
        <v>0.47390870000000002</v>
      </c>
      <c r="M71">
        <v>0.23034697000000001</v>
      </c>
      <c r="N71">
        <v>0.26822214</v>
      </c>
      <c r="O71">
        <v>0.12658432</v>
      </c>
      <c r="P71">
        <v>0.40014212999999998</v>
      </c>
      <c r="Q71">
        <v>2.9368793000000001E-2</v>
      </c>
      <c r="R71">
        <v>5.0528670999999997E-2</v>
      </c>
      <c r="S71">
        <v>0.10983534</v>
      </c>
      <c r="T71">
        <v>0.17850924000000001</v>
      </c>
      <c r="U71">
        <v>0.13407115999999999</v>
      </c>
      <c r="V71">
        <v>0.26292229</v>
      </c>
      <c r="W71">
        <v>0.65226890999999998</v>
      </c>
      <c r="X71">
        <v>0.62187815000000002</v>
      </c>
      <c r="Y71">
        <v>1.2129452999999999</v>
      </c>
      <c r="Z71">
        <v>2.0045709</v>
      </c>
      <c r="AA71">
        <v>0.8883974</v>
      </c>
      <c r="AB71">
        <v>3.7217594E-2</v>
      </c>
      <c r="AC71">
        <v>4.4454520999999998</v>
      </c>
      <c r="AD71">
        <v>5.7182167999999998E-2</v>
      </c>
      <c r="AE71">
        <v>9.7068741E-2</v>
      </c>
      <c r="AF71">
        <v>0.11763025000000001</v>
      </c>
      <c r="AG71">
        <v>1.900609</v>
      </c>
      <c r="AH71">
        <v>1.7863486</v>
      </c>
      <c r="AI71">
        <v>1.5913861</v>
      </c>
      <c r="AJ71">
        <v>4.0313277000000002E-2</v>
      </c>
      <c r="AK71">
        <v>4.1801739999999997E-2</v>
      </c>
      <c r="AL71">
        <v>1.1354423000000001E-2</v>
      </c>
      <c r="AM71">
        <v>3.6500625000000001E-3</v>
      </c>
      <c r="AN71">
        <v>4.8777572999999996E-3</v>
      </c>
      <c r="AO71">
        <v>0</v>
      </c>
      <c r="AP71">
        <v>0.47331195999999998</v>
      </c>
      <c r="AQ71">
        <v>0.53327857000000001</v>
      </c>
      <c r="AR71">
        <v>4.4877481999999998E-3</v>
      </c>
      <c r="AS71">
        <v>4.1603057999999998E-3</v>
      </c>
      <c r="AT71">
        <v>7.8786658000000002E-3</v>
      </c>
      <c r="AU71">
        <v>3.9926352999999998E-2</v>
      </c>
      <c r="AV71">
        <v>5.5476315999999998E-2</v>
      </c>
      <c r="AW71">
        <v>4.4895655999999999E-2</v>
      </c>
      <c r="AX71">
        <v>4.8040276E-2</v>
      </c>
      <c r="AY71">
        <v>6.7383685999999998E-2</v>
      </c>
      <c r="AZ71">
        <v>0</v>
      </c>
      <c r="BA71">
        <v>2884.8802000000001</v>
      </c>
      <c r="BB71">
        <v>2726.3303999999998</v>
      </c>
    </row>
    <row r="72" spans="1:54" x14ac:dyDescent="0.2">
      <c r="A72" t="s">
        <v>200</v>
      </c>
      <c r="B72" t="s">
        <v>194</v>
      </c>
      <c r="C72">
        <v>1.2673289999999999E-4</v>
      </c>
      <c r="D72">
        <v>1.1025750000000001E-4</v>
      </c>
      <c r="E72">
        <v>1.4101024E-4</v>
      </c>
      <c r="F72">
        <v>1.2848899000000001E-4</v>
      </c>
      <c r="G72">
        <v>1.2747225000000001E-4</v>
      </c>
      <c r="H72" s="1">
        <v>6.6159456999999998E-6</v>
      </c>
      <c r="I72" s="1">
        <v>2.3803364000000001E-5</v>
      </c>
      <c r="J72">
        <v>2.498224E-4</v>
      </c>
      <c r="K72">
        <v>3.0539314999999999E-4</v>
      </c>
      <c r="L72">
        <v>1.5903010999999999E-4</v>
      </c>
      <c r="M72" s="1">
        <v>6.0237357999999999E-5</v>
      </c>
      <c r="N72" s="1">
        <v>5.3772176000000001E-5</v>
      </c>
      <c r="O72" s="1">
        <v>3.7830773000000003E-5</v>
      </c>
      <c r="P72" s="1">
        <v>5.1247301999999999E-5</v>
      </c>
      <c r="Q72" s="1">
        <v>3.3174209000000003E-5</v>
      </c>
      <c r="R72" s="1">
        <v>2.3009289999999999E-5</v>
      </c>
      <c r="S72" s="1">
        <v>2.9286769000000001E-5</v>
      </c>
      <c r="T72" s="1">
        <v>3.9082421000000001E-5</v>
      </c>
      <c r="U72" s="1">
        <v>9.6944785000000006E-5</v>
      </c>
      <c r="V72">
        <v>0.15178448</v>
      </c>
      <c r="W72">
        <v>0.31948412999999998</v>
      </c>
      <c r="X72">
        <v>0.50895279999999998</v>
      </c>
      <c r="Y72">
        <v>0.76353764000000002</v>
      </c>
      <c r="Z72">
        <v>3.0627418999999999E-4</v>
      </c>
      <c r="AA72">
        <v>4.7796242999999998E-4</v>
      </c>
      <c r="AB72" s="1">
        <v>5.9517431000000002E-6</v>
      </c>
      <c r="AC72">
        <v>2.4824117000000001E-3</v>
      </c>
      <c r="AD72" s="1">
        <v>5.6901877999999998E-5</v>
      </c>
      <c r="AE72" s="1">
        <v>7.6743867999999995E-5</v>
      </c>
      <c r="AF72" s="1">
        <v>9.6719900999999998E-5</v>
      </c>
      <c r="AG72">
        <v>7.6423267999999999E-3</v>
      </c>
      <c r="AH72">
        <v>1.1051291000000001E-3</v>
      </c>
      <c r="AI72" s="1">
        <v>6.0331893999999997E-4</v>
      </c>
      <c r="AJ72" s="1">
        <v>5.0420410999999999E-5</v>
      </c>
      <c r="AK72" s="1">
        <v>5.0843866999999999E-5</v>
      </c>
      <c r="AL72" s="1">
        <v>4.8643156999999999E-6</v>
      </c>
      <c r="AM72">
        <v>3.6036081999999997E-4</v>
      </c>
      <c r="AN72">
        <v>1.2916913000000001E-3</v>
      </c>
      <c r="AO72">
        <v>0</v>
      </c>
      <c r="AP72">
        <v>2.1847765E-3</v>
      </c>
      <c r="AQ72" s="1">
        <v>5.5390278000000002E-4</v>
      </c>
      <c r="AR72" s="1">
        <v>3.6925502000000002E-6</v>
      </c>
      <c r="AS72" s="1">
        <v>3.5528488000000001E-6</v>
      </c>
      <c r="AT72" s="1">
        <v>9.3293780000000007E-6</v>
      </c>
      <c r="AU72">
        <v>1.5584993999999999E-4</v>
      </c>
      <c r="AV72">
        <v>2.1704322E-4</v>
      </c>
      <c r="AW72">
        <v>1.7878790999999999E-4</v>
      </c>
      <c r="AX72">
        <v>2.0234887999999999E-4</v>
      </c>
      <c r="AY72">
        <v>1.0986074000000001E-4</v>
      </c>
      <c r="AZ72">
        <v>0</v>
      </c>
      <c r="BA72">
        <v>1.9728384999999999</v>
      </c>
      <c r="BB72">
        <v>1.8661038999999999</v>
      </c>
    </row>
    <row r="73" spans="1:54" x14ac:dyDescent="0.2">
      <c r="A73" t="s">
        <v>201</v>
      </c>
      <c r="B73" t="s">
        <v>194</v>
      </c>
      <c r="C73">
        <v>3.497083E-4</v>
      </c>
      <c r="D73">
        <v>2.4402692999999999E-4</v>
      </c>
      <c r="E73">
        <v>3.3492312E-4</v>
      </c>
      <c r="F73">
        <v>3.6673173999999999E-4</v>
      </c>
      <c r="G73">
        <v>3.0901581000000001E-4</v>
      </c>
      <c r="H73" s="1">
        <v>7.0112262000000006E-5</v>
      </c>
      <c r="I73">
        <v>1.3957914000000001E-4</v>
      </c>
      <c r="J73">
        <v>2.6871493E-4</v>
      </c>
      <c r="K73">
        <v>2.955306E-4</v>
      </c>
      <c r="L73">
        <v>2.4663882000000001E-4</v>
      </c>
      <c r="M73" s="1">
        <v>9.1738886000000005E-5</v>
      </c>
      <c r="N73" s="1">
        <v>7.3626652E-5</v>
      </c>
      <c r="O73" s="1">
        <v>6.5859028000000004E-5</v>
      </c>
      <c r="P73">
        <v>3.8398707000000001E-4</v>
      </c>
      <c r="Q73" s="1">
        <v>1.1553534E-5</v>
      </c>
      <c r="R73" s="1">
        <v>2.6796247000000001E-5</v>
      </c>
      <c r="S73" s="1">
        <v>4.7948053999999997E-5</v>
      </c>
      <c r="T73" s="1">
        <v>8.3693305000000001E-5</v>
      </c>
      <c r="U73">
        <v>1.8184874E-4</v>
      </c>
      <c r="V73" s="1">
        <v>8.0112816999999996E-5</v>
      </c>
      <c r="W73">
        <v>2.7236203E-2</v>
      </c>
      <c r="X73">
        <v>3.1167574E-4</v>
      </c>
      <c r="Y73">
        <v>4.1537337000000001E-2</v>
      </c>
      <c r="Z73">
        <v>0.39586806000000002</v>
      </c>
      <c r="AA73">
        <v>0.93350420000000001</v>
      </c>
      <c r="AB73" s="1">
        <v>3.7626921000000001E-5</v>
      </c>
      <c r="AC73">
        <v>1.2109971000000001E-2</v>
      </c>
      <c r="AD73">
        <v>4.3750802E-4</v>
      </c>
      <c r="AE73">
        <v>1.4145071999999999E-4</v>
      </c>
      <c r="AF73">
        <v>1.4390453000000001E-4</v>
      </c>
      <c r="AG73">
        <v>2.1377140999999999E-2</v>
      </c>
      <c r="AH73" s="1">
        <v>7.7244260999999999E-7</v>
      </c>
      <c r="AI73" s="1">
        <v>3.5170999999999998E-4</v>
      </c>
      <c r="AJ73" s="1">
        <v>4.4033119999999998E-5</v>
      </c>
      <c r="AK73" s="1">
        <v>4.1414888999999999E-5</v>
      </c>
      <c r="AL73" s="1">
        <v>5.0495065999999999E-6</v>
      </c>
      <c r="AM73" s="1">
        <v>1.1979715999999999E-6</v>
      </c>
      <c r="AN73">
        <v>1.0820447E-2</v>
      </c>
      <c r="AO73">
        <v>0</v>
      </c>
      <c r="AP73">
        <v>1.7370404999999999E-4</v>
      </c>
      <c r="AQ73" s="1">
        <v>3.2502208000000001E-4</v>
      </c>
      <c r="AR73" s="1">
        <v>3.8315496999999999E-6</v>
      </c>
      <c r="AS73" s="1">
        <v>3.8047572000000002E-6</v>
      </c>
      <c r="AT73" s="1">
        <v>6.1760732000000002E-6</v>
      </c>
      <c r="AU73" s="1">
        <v>1.2915241E-5</v>
      </c>
      <c r="AV73" s="1">
        <v>1.7515337999999999E-5</v>
      </c>
      <c r="AW73" s="1">
        <v>1.473896E-5</v>
      </c>
      <c r="AX73" s="1">
        <v>1.6141576999999998E-5</v>
      </c>
      <c r="AY73">
        <v>1.074053E-4</v>
      </c>
      <c r="AZ73">
        <v>0</v>
      </c>
      <c r="BA73">
        <v>3.3511142999999999</v>
      </c>
      <c r="BB73">
        <v>3.1666275000000002</v>
      </c>
    </row>
    <row r="74" spans="1:54" x14ac:dyDescent="0.2">
      <c r="A74" t="s">
        <v>202</v>
      </c>
      <c r="B74" t="s">
        <v>194</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row>
    <row r="75" spans="1:54" x14ac:dyDescent="0.2">
      <c r="A75" t="s">
        <v>203</v>
      </c>
      <c r="B75" t="s">
        <v>194</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row>
    <row r="77" spans="1:54" ht="16" x14ac:dyDescent="0.2">
      <c r="A77" s="5" t="s">
        <v>364</v>
      </c>
      <c r="C77" t="s">
        <v>154</v>
      </c>
      <c r="D77" t="s">
        <v>155</v>
      </c>
      <c r="E77" t="s">
        <v>156</v>
      </c>
      <c r="F77" t="s">
        <v>157</v>
      </c>
      <c r="G77" t="s">
        <v>158</v>
      </c>
      <c r="H77" t="s">
        <v>159</v>
      </c>
      <c r="I77" t="s">
        <v>160</v>
      </c>
      <c r="J77" t="s">
        <v>161</v>
      </c>
      <c r="K77" t="s">
        <v>162</v>
      </c>
      <c r="L77" t="s">
        <v>163</v>
      </c>
      <c r="M77" t="s">
        <v>164</v>
      </c>
      <c r="N77" t="s">
        <v>165</v>
      </c>
      <c r="O77" t="s">
        <v>166</v>
      </c>
      <c r="P77" t="s">
        <v>167</v>
      </c>
      <c r="Q77" t="s">
        <v>168</v>
      </c>
      <c r="R77" t="s">
        <v>169</v>
      </c>
      <c r="S77" t="s">
        <v>170</v>
      </c>
      <c r="T77" t="s">
        <v>171</v>
      </c>
      <c r="U77" t="s">
        <v>172</v>
      </c>
      <c r="V77" t="s">
        <v>173</v>
      </c>
      <c r="W77" t="s">
        <v>174</v>
      </c>
      <c r="X77" t="s">
        <v>175</v>
      </c>
      <c r="Y77" t="s">
        <v>176</v>
      </c>
      <c r="Z77" t="s">
        <v>177</v>
      </c>
      <c r="AA77" t="s">
        <v>178</v>
      </c>
      <c r="AB77" t="s">
        <v>179</v>
      </c>
      <c r="AC77" t="s">
        <v>180</v>
      </c>
      <c r="AD77" t="s">
        <v>181</v>
      </c>
      <c r="AE77" t="s">
        <v>182</v>
      </c>
      <c r="AF77" t="s">
        <v>183</v>
      </c>
      <c r="AG77" t="s">
        <v>184</v>
      </c>
      <c r="AH77" t="s">
        <v>234</v>
      </c>
      <c r="AI77" t="s">
        <v>233</v>
      </c>
      <c r="AJ77" t="s">
        <v>217</v>
      </c>
      <c r="AK77" t="s">
        <v>216</v>
      </c>
      <c r="AL77" t="s">
        <v>185</v>
      </c>
      <c r="AM77" t="s">
        <v>186</v>
      </c>
      <c r="AN77" t="s">
        <v>187</v>
      </c>
      <c r="AO77" t="s">
        <v>188</v>
      </c>
      <c r="AP77" t="s">
        <v>189</v>
      </c>
      <c r="AQ77" t="s">
        <v>190</v>
      </c>
      <c r="AR77" t="s">
        <v>215</v>
      </c>
      <c r="AS77" t="s">
        <v>214</v>
      </c>
      <c r="AT77" t="s">
        <v>218</v>
      </c>
      <c r="AU77" t="s">
        <v>222</v>
      </c>
      <c r="AV77" t="s">
        <v>221</v>
      </c>
      <c r="AW77" t="s">
        <v>219</v>
      </c>
      <c r="AX77" t="s">
        <v>220</v>
      </c>
      <c r="AY77" t="s">
        <v>191</v>
      </c>
      <c r="AZ77" t="s">
        <v>192</v>
      </c>
      <c r="BA77" t="s">
        <v>653</v>
      </c>
      <c r="BB77" t="s">
        <v>656</v>
      </c>
    </row>
    <row r="78" spans="1:54" ht="131" customHeight="1" x14ac:dyDescent="0.2">
      <c r="A78" s="5" t="s">
        <v>363</v>
      </c>
      <c r="C78" s="23" t="s">
        <v>298</v>
      </c>
      <c r="D78" s="23" t="s">
        <v>299</v>
      </c>
      <c r="E78" s="23" t="s">
        <v>300</v>
      </c>
      <c r="F78" s="23" t="s">
        <v>301</v>
      </c>
      <c r="G78" s="23" t="s">
        <v>302</v>
      </c>
      <c r="H78" s="23" t="s">
        <v>303</v>
      </c>
      <c r="I78" s="23" t="s">
        <v>304</v>
      </c>
      <c r="J78" s="23" t="s">
        <v>305</v>
      </c>
      <c r="K78" s="23" t="s">
        <v>306</v>
      </c>
      <c r="L78" s="23" t="s">
        <v>307</v>
      </c>
      <c r="M78" s="23" t="s">
        <v>308</v>
      </c>
      <c r="N78" s="23" t="s">
        <v>309</v>
      </c>
      <c r="O78" s="23" t="s">
        <v>310</v>
      </c>
      <c r="P78" s="23" t="s">
        <v>311</v>
      </c>
      <c r="Q78" s="23" t="s">
        <v>312</v>
      </c>
      <c r="R78" s="23" t="s">
        <v>313</v>
      </c>
      <c r="S78" s="23" t="s">
        <v>314</v>
      </c>
      <c r="T78" s="23" t="s">
        <v>315</v>
      </c>
      <c r="U78" s="23" t="s">
        <v>316</v>
      </c>
      <c r="V78" s="23" t="s">
        <v>317</v>
      </c>
      <c r="W78" s="23" t="s">
        <v>318</v>
      </c>
      <c r="X78" s="23" t="s">
        <v>319</v>
      </c>
      <c r="Y78" s="23" t="s">
        <v>320</v>
      </c>
      <c r="Z78" s="23" t="s">
        <v>321</v>
      </c>
      <c r="AA78" s="23" t="s">
        <v>322</v>
      </c>
      <c r="AB78" s="23" t="s">
        <v>323</v>
      </c>
      <c r="AC78" s="23" t="s">
        <v>324</v>
      </c>
      <c r="AD78" s="23" t="s">
        <v>325</v>
      </c>
      <c r="AE78" s="23" t="s">
        <v>326</v>
      </c>
      <c r="AF78" s="23" t="s">
        <v>327</v>
      </c>
      <c r="AG78" s="23" t="s">
        <v>328</v>
      </c>
      <c r="AH78" s="23" t="s">
        <v>329</v>
      </c>
      <c r="AI78" s="23" t="s">
        <v>330</v>
      </c>
      <c r="AJ78" s="23" t="s">
        <v>331</v>
      </c>
      <c r="AK78" s="23" t="s">
        <v>332</v>
      </c>
      <c r="AL78" s="23" t="s">
        <v>333</v>
      </c>
      <c r="AM78" s="23" t="s">
        <v>334</v>
      </c>
      <c r="AN78" s="23" t="s">
        <v>335</v>
      </c>
      <c r="AO78" s="23" t="s">
        <v>336</v>
      </c>
      <c r="AP78" s="23" t="s">
        <v>337</v>
      </c>
      <c r="AQ78" s="23" t="s">
        <v>338</v>
      </c>
      <c r="AR78" s="23" t="s">
        <v>339</v>
      </c>
      <c r="AS78" s="23" t="s">
        <v>340</v>
      </c>
      <c r="AT78" s="23" t="s">
        <v>341</v>
      </c>
      <c r="AU78" s="23" t="s">
        <v>342</v>
      </c>
      <c r="AV78" s="23" t="s">
        <v>343</v>
      </c>
      <c r="AW78" s="23" t="s">
        <v>344</v>
      </c>
      <c r="AX78" s="23" t="s">
        <v>345</v>
      </c>
      <c r="AY78" s="23" t="s">
        <v>346</v>
      </c>
      <c r="AZ78" s="23" t="s">
        <v>347</v>
      </c>
      <c r="BA78" s="5" t="s">
        <v>654</v>
      </c>
      <c r="BB78" s="5" t="s">
        <v>655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8316-475A-4EFB-A4E5-2A173F40A0AF}">
  <dimension ref="A2:BB78"/>
  <sheetViews>
    <sheetView topLeftCell="A28" zoomScale="110" zoomScaleNormal="110" workbookViewId="0">
      <selection activeCell="A54" sqref="A54:XFD55"/>
    </sheetView>
  </sheetViews>
  <sheetFormatPr baseColWidth="10" defaultColWidth="10.83203125" defaultRowHeight="15" x14ac:dyDescent="0.2"/>
  <sheetData>
    <row r="2" spans="1:2" x14ac:dyDescent="0.2">
      <c r="A2" t="s">
        <v>0</v>
      </c>
      <c r="B2" t="s">
        <v>1</v>
      </c>
    </row>
    <row r="3" spans="1:2" x14ac:dyDescent="0.2">
      <c r="A3" t="s">
        <v>2</v>
      </c>
      <c r="B3" t="s">
        <v>3</v>
      </c>
    </row>
    <row r="4" spans="1:2" x14ac:dyDescent="0.2">
      <c r="A4" t="s">
        <v>4</v>
      </c>
      <c r="B4" t="s">
        <v>601</v>
      </c>
    </row>
    <row r="5" spans="1:2" x14ac:dyDescent="0.2">
      <c r="A5" t="s">
        <v>5</v>
      </c>
      <c r="B5" t="s">
        <v>602</v>
      </c>
    </row>
    <row r="6" spans="1:2" x14ac:dyDescent="0.2">
      <c r="A6" t="s">
        <v>6</v>
      </c>
      <c r="B6" t="s">
        <v>603</v>
      </c>
    </row>
    <row r="7" spans="1:2" x14ac:dyDescent="0.2">
      <c r="A7" t="s">
        <v>7</v>
      </c>
      <c r="B7" t="s">
        <v>604</v>
      </c>
    </row>
    <row r="8" spans="1:2" x14ac:dyDescent="0.2">
      <c r="A8" t="s">
        <v>8</v>
      </c>
      <c r="B8" t="s">
        <v>605</v>
      </c>
    </row>
    <row r="9" spans="1:2" x14ac:dyDescent="0.2">
      <c r="A9" t="s">
        <v>10</v>
      </c>
      <c r="B9" t="s">
        <v>606</v>
      </c>
    </row>
    <row r="10" spans="1:2" x14ac:dyDescent="0.2">
      <c r="A10" t="s">
        <v>11</v>
      </c>
      <c r="B10" t="s">
        <v>607</v>
      </c>
    </row>
    <row r="11" spans="1:2" x14ac:dyDescent="0.2">
      <c r="A11" t="s">
        <v>13</v>
      </c>
      <c r="B11" t="s">
        <v>608</v>
      </c>
    </row>
    <row r="12" spans="1:2" x14ac:dyDescent="0.2">
      <c r="A12" t="s">
        <v>15</v>
      </c>
      <c r="B12" t="s">
        <v>609</v>
      </c>
    </row>
    <row r="13" spans="1:2" x14ac:dyDescent="0.2">
      <c r="A13" t="s">
        <v>17</v>
      </c>
      <c r="B13" t="s">
        <v>610</v>
      </c>
    </row>
    <row r="14" spans="1:2" x14ac:dyDescent="0.2">
      <c r="A14" t="s">
        <v>18</v>
      </c>
      <c r="B14" t="s">
        <v>611</v>
      </c>
    </row>
    <row r="15" spans="1:2" x14ac:dyDescent="0.2">
      <c r="A15" t="s">
        <v>19</v>
      </c>
      <c r="B15" t="s">
        <v>612</v>
      </c>
    </row>
    <row r="16" spans="1:2" x14ac:dyDescent="0.2">
      <c r="A16" t="s">
        <v>20</v>
      </c>
      <c r="B16" t="s">
        <v>613</v>
      </c>
    </row>
    <row r="17" spans="1:2" x14ac:dyDescent="0.2">
      <c r="A17" t="s">
        <v>21</v>
      </c>
      <c r="B17" t="s">
        <v>614</v>
      </c>
    </row>
    <row r="18" spans="1:2" x14ac:dyDescent="0.2">
      <c r="A18" t="s">
        <v>22</v>
      </c>
      <c r="B18" t="s">
        <v>615</v>
      </c>
    </row>
    <row r="19" spans="1:2" x14ac:dyDescent="0.2">
      <c r="A19" t="s">
        <v>23</v>
      </c>
      <c r="B19" t="s">
        <v>616</v>
      </c>
    </row>
    <row r="20" spans="1:2" x14ac:dyDescent="0.2">
      <c r="A20" t="s">
        <v>24</v>
      </c>
      <c r="B20" t="s">
        <v>617</v>
      </c>
    </row>
    <row r="21" spans="1:2" x14ac:dyDescent="0.2">
      <c r="A21" t="s">
        <v>25</v>
      </c>
      <c r="B21" t="s">
        <v>618</v>
      </c>
    </row>
    <row r="22" spans="1:2" x14ac:dyDescent="0.2">
      <c r="A22" t="s">
        <v>26</v>
      </c>
      <c r="B22" t="s">
        <v>619</v>
      </c>
    </row>
    <row r="23" spans="1:2" x14ac:dyDescent="0.2">
      <c r="A23" t="s">
        <v>27</v>
      </c>
      <c r="B23" t="s">
        <v>620</v>
      </c>
    </row>
    <row r="24" spans="1:2" x14ac:dyDescent="0.2">
      <c r="A24" t="s">
        <v>29</v>
      </c>
      <c r="B24" t="s">
        <v>621</v>
      </c>
    </row>
    <row r="25" spans="1:2" x14ac:dyDescent="0.2">
      <c r="A25" t="s">
        <v>31</v>
      </c>
      <c r="B25" t="s">
        <v>622</v>
      </c>
    </row>
    <row r="26" spans="1:2" x14ac:dyDescent="0.2">
      <c r="A26" t="s">
        <v>33</v>
      </c>
      <c r="B26" t="s">
        <v>623</v>
      </c>
    </row>
    <row r="27" spans="1:2" x14ac:dyDescent="0.2">
      <c r="A27" t="s">
        <v>34</v>
      </c>
      <c r="B27" t="s">
        <v>624</v>
      </c>
    </row>
    <row r="28" spans="1:2" x14ac:dyDescent="0.2">
      <c r="A28" t="s">
        <v>36</v>
      </c>
      <c r="B28" t="s">
        <v>625</v>
      </c>
    </row>
    <row r="29" spans="1:2" x14ac:dyDescent="0.2">
      <c r="A29" t="s">
        <v>37</v>
      </c>
      <c r="B29" t="s">
        <v>626</v>
      </c>
    </row>
    <row r="30" spans="1:2" x14ac:dyDescent="0.2">
      <c r="A30" t="s">
        <v>39</v>
      </c>
      <c r="B30" t="s">
        <v>627</v>
      </c>
    </row>
    <row r="31" spans="1:2" x14ac:dyDescent="0.2">
      <c r="A31" t="s">
        <v>41</v>
      </c>
      <c r="B31" t="s">
        <v>42</v>
      </c>
    </row>
    <row r="32" spans="1:2" x14ac:dyDescent="0.2">
      <c r="A32" t="s">
        <v>43</v>
      </c>
      <c r="B32" t="s">
        <v>628</v>
      </c>
    </row>
    <row r="33" spans="1:2" x14ac:dyDescent="0.2">
      <c r="A33" t="s">
        <v>44</v>
      </c>
      <c r="B33" t="s">
        <v>629</v>
      </c>
    </row>
    <row r="34" spans="1:2" x14ac:dyDescent="0.2">
      <c r="A34" t="s">
        <v>46</v>
      </c>
      <c r="B34" t="s">
        <v>630</v>
      </c>
    </row>
    <row r="35" spans="1:2" x14ac:dyDescent="0.2">
      <c r="A35" t="s">
        <v>47</v>
      </c>
      <c r="B35" t="s">
        <v>631</v>
      </c>
    </row>
    <row r="36" spans="1:2" x14ac:dyDescent="0.2">
      <c r="A36" t="s">
        <v>49</v>
      </c>
      <c r="B36" t="s">
        <v>239</v>
      </c>
    </row>
    <row r="37" spans="1:2" x14ac:dyDescent="0.2">
      <c r="A37" t="s">
        <v>50</v>
      </c>
      <c r="B37" t="s">
        <v>632</v>
      </c>
    </row>
    <row r="38" spans="1:2" x14ac:dyDescent="0.2">
      <c r="A38" t="s">
        <v>51</v>
      </c>
      <c r="B38" t="s">
        <v>633</v>
      </c>
    </row>
    <row r="39" spans="1:2" x14ac:dyDescent="0.2">
      <c r="A39" t="s">
        <v>53</v>
      </c>
      <c r="B39" t="s">
        <v>634</v>
      </c>
    </row>
    <row r="40" spans="1:2" x14ac:dyDescent="0.2">
      <c r="A40" t="s">
        <v>55</v>
      </c>
      <c r="B40" t="s">
        <v>635</v>
      </c>
    </row>
    <row r="41" spans="1:2" x14ac:dyDescent="0.2">
      <c r="A41" t="s">
        <v>57</v>
      </c>
      <c r="B41" t="s">
        <v>636</v>
      </c>
    </row>
    <row r="42" spans="1:2" x14ac:dyDescent="0.2">
      <c r="A42" t="s">
        <v>59</v>
      </c>
      <c r="B42" t="s">
        <v>637</v>
      </c>
    </row>
    <row r="43" spans="1:2" x14ac:dyDescent="0.2">
      <c r="A43" t="s">
        <v>60</v>
      </c>
      <c r="B43" t="s">
        <v>638</v>
      </c>
    </row>
    <row r="44" spans="1:2" x14ac:dyDescent="0.2">
      <c r="A44" t="s">
        <v>61</v>
      </c>
      <c r="B44" t="s">
        <v>639</v>
      </c>
    </row>
    <row r="45" spans="1:2" x14ac:dyDescent="0.2">
      <c r="A45" t="s">
        <v>63</v>
      </c>
      <c r="B45" t="s">
        <v>640</v>
      </c>
    </row>
    <row r="46" spans="1:2" x14ac:dyDescent="0.2">
      <c r="A46" t="s">
        <v>65</v>
      </c>
      <c r="B46" t="s">
        <v>641</v>
      </c>
    </row>
    <row r="47" spans="1:2" x14ac:dyDescent="0.2">
      <c r="A47" t="s">
        <v>67</v>
      </c>
      <c r="B47" t="s">
        <v>642</v>
      </c>
    </row>
    <row r="48" spans="1:2" x14ac:dyDescent="0.2">
      <c r="A48" t="s">
        <v>68</v>
      </c>
      <c r="B48" t="s">
        <v>643</v>
      </c>
    </row>
    <row r="49" spans="1:2" x14ac:dyDescent="0.2">
      <c r="A49" t="s">
        <v>69</v>
      </c>
      <c r="B49" t="s">
        <v>644</v>
      </c>
    </row>
    <row r="50" spans="1:2" x14ac:dyDescent="0.2">
      <c r="A50" t="s">
        <v>70</v>
      </c>
      <c r="B50" t="s">
        <v>645</v>
      </c>
    </row>
    <row r="51" spans="1:2" x14ac:dyDescent="0.2">
      <c r="A51" t="s">
        <v>71</v>
      </c>
      <c r="B51" t="s">
        <v>646</v>
      </c>
    </row>
    <row r="52" spans="1:2" x14ac:dyDescent="0.2">
      <c r="A52" t="s">
        <v>73</v>
      </c>
      <c r="B52" t="s">
        <v>72</v>
      </c>
    </row>
    <row r="53" spans="1:2" x14ac:dyDescent="0.2">
      <c r="A53" t="s">
        <v>227</v>
      </c>
      <c r="B53" t="s">
        <v>647</v>
      </c>
    </row>
    <row r="54" spans="1:2" x14ac:dyDescent="0.2">
      <c r="A54" t="s">
        <v>648</v>
      </c>
      <c r="B54" t="s">
        <v>649</v>
      </c>
    </row>
    <row r="55" spans="1:2" x14ac:dyDescent="0.2">
      <c r="A55" t="s">
        <v>650</v>
      </c>
      <c r="B55" t="s">
        <v>651</v>
      </c>
    </row>
    <row r="56" spans="1:2" x14ac:dyDescent="0.2">
      <c r="A56" t="s">
        <v>75</v>
      </c>
      <c r="B56" t="s">
        <v>193</v>
      </c>
    </row>
    <row r="57" spans="1:2" x14ac:dyDescent="0.2">
      <c r="A57" t="s">
        <v>77</v>
      </c>
      <c r="B57" t="s">
        <v>78</v>
      </c>
    </row>
    <row r="58" spans="1:2" x14ac:dyDescent="0.2">
      <c r="A58" t="s">
        <v>79</v>
      </c>
      <c r="B58" t="s">
        <v>80</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s="5" customFormat="1" ht="192" x14ac:dyDescent="0.2">
      <c r="A65" s="5" t="s">
        <v>87</v>
      </c>
      <c r="B65" s="5" t="s">
        <v>90</v>
      </c>
      <c r="C65" s="5" t="s">
        <v>91</v>
      </c>
      <c r="D65" s="5" t="s">
        <v>92</v>
      </c>
      <c r="E65" s="5" t="s">
        <v>93</v>
      </c>
      <c r="F65" s="5" t="s">
        <v>94</v>
      </c>
      <c r="G65" s="5" t="s">
        <v>95</v>
      </c>
      <c r="H65" s="5" t="s">
        <v>229</v>
      </c>
      <c r="I65" s="5" t="s">
        <v>96</v>
      </c>
      <c r="J65" s="5" t="s">
        <v>97</v>
      </c>
      <c r="K65" s="5" t="s">
        <v>98</v>
      </c>
      <c r="L65" s="5" t="s">
        <v>99</v>
      </c>
      <c r="M65" s="5" t="s">
        <v>100</v>
      </c>
      <c r="N65" s="5" t="s">
        <v>101</v>
      </c>
      <c r="O65" s="5" t="s">
        <v>102</v>
      </c>
      <c r="P65" s="5" t="s">
        <v>103</v>
      </c>
      <c r="Q65" s="5" t="s">
        <v>104</v>
      </c>
      <c r="R65" s="5" t="s">
        <v>105</v>
      </c>
      <c r="S65" s="5" t="s">
        <v>106</v>
      </c>
      <c r="T65" s="5" t="s">
        <v>107</v>
      </c>
      <c r="U65" s="5" t="s">
        <v>108</v>
      </c>
      <c r="V65" s="5" t="s">
        <v>109</v>
      </c>
      <c r="W65" s="5" t="s">
        <v>110</v>
      </c>
      <c r="X65" s="5" t="s">
        <v>111</v>
      </c>
      <c r="Y65" s="5" t="s">
        <v>112</v>
      </c>
      <c r="Z65" s="5" t="s">
        <v>113</v>
      </c>
      <c r="AA65" s="5" t="s">
        <v>114</v>
      </c>
      <c r="AB65" s="5" t="s">
        <v>115</v>
      </c>
      <c r="AC65" s="5" t="s">
        <v>116</v>
      </c>
      <c r="AD65" s="5" t="s">
        <v>117</v>
      </c>
      <c r="AE65" s="5" t="s">
        <v>118</v>
      </c>
      <c r="AF65" s="5" t="s">
        <v>119</v>
      </c>
      <c r="AG65" s="5" t="s">
        <v>120</v>
      </c>
      <c r="AH65" s="5" t="s">
        <v>121</v>
      </c>
      <c r="AI65" s="5" t="s">
        <v>241</v>
      </c>
      <c r="AJ65" s="5" t="s">
        <v>122</v>
      </c>
      <c r="AK65" s="5" t="s">
        <v>123</v>
      </c>
      <c r="AL65" s="5" t="s">
        <v>124</v>
      </c>
      <c r="AM65" s="5" t="s">
        <v>125</v>
      </c>
      <c r="AN65" s="5" t="s">
        <v>126</v>
      </c>
      <c r="AO65" s="5" t="s">
        <v>127</v>
      </c>
      <c r="AP65" s="5" t="s">
        <v>242</v>
      </c>
      <c r="AQ65" s="5" t="s">
        <v>232</v>
      </c>
      <c r="AR65" s="5" t="s">
        <v>128</v>
      </c>
      <c r="AS65" s="5" t="s">
        <v>129</v>
      </c>
      <c r="AT65" s="5" t="s">
        <v>130</v>
      </c>
      <c r="AU65" s="5" t="s">
        <v>131</v>
      </c>
      <c r="AV65" s="5" t="s">
        <v>132</v>
      </c>
      <c r="AW65" s="5" t="s">
        <v>133</v>
      </c>
      <c r="AX65" s="5" t="s">
        <v>134</v>
      </c>
      <c r="AY65" s="5" t="s">
        <v>135</v>
      </c>
      <c r="AZ65" s="5" t="s">
        <v>136</v>
      </c>
      <c r="BA65" s="5" t="s">
        <v>600</v>
      </c>
      <c r="BB65" s="5" t="s">
        <v>652</v>
      </c>
    </row>
    <row r="66" spans="1:54" x14ac:dyDescent="0.2">
      <c r="A66" t="s">
        <v>137</v>
      </c>
      <c r="B66" t="s">
        <v>194</v>
      </c>
      <c r="C66">
        <v>1.2712611</v>
      </c>
      <c r="D66">
        <v>0.93562403000000005</v>
      </c>
      <c r="E66">
        <v>1.6283993999999999</v>
      </c>
      <c r="F66">
        <v>0.98446177999999995</v>
      </c>
      <c r="G66">
        <v>1.3918172</v>
      </c>
      <c r="H66">
        <v>0.12293123</v>
      </c>
      <c r="I66">
        <v>1.7560560999999999</v>
      </c>
      <c r="J66">
        <v>1.6369327</v>
      </c>
      <c r="K66">
        <v>1.2829161</v>
      </c>
      <c r="L66">
        <v>0.98472181999999997</v>
      </c>
      <c r="M66">
        <v>0.40764067999999998</v>
      </c>
      <c r="N66">
        <v>0.43669994000000001</v>
      </c>
      <c r="O66">
        <v>0.15197874</v>
      </c>
      <c r="P66">
        <v>0.53272428000000005</v>
      </c>
      <c r="Q66">
        <v>4.4347638000000002E-2</v>
      </c>
      <c r="R66">
        <v>6.8171658999999996E-2</v>
      </c>
      <c r="S66">
        <v>0.13577610000000001</v>
      </c>
      <c r="T66">
        <v>0.21892107999999999</v>
      </c>
      <c r="U66">
        <v>0.16393302000000001</v>
      </c>
      <c r="V66">
        <v>0.74263703999999997</v>
      </c>
      <c r="W66">
        <v>1.6982577000000001</v>
      </c>
      <c r="X66">
        <v>2.2194075</v>
      </c>
      <c r="Y66">
        <v>3.6701351999999998</v>
      </c>
      <c r="Z66">
        <v>2.5457412000000001</v>
      </c>
      <c r="AA66">
        <v>1.9800609</v>
      </c>
      <c r="AB66">
        <v>4.3785818999999997E-2</v>
      </c>
      <c r="AC66">
        <v>5.1159471999999999</v>
      </c>
      <c r="AD66">
        <v>5.9855008000000001E-2</v>
      </c>
      <c r="AE66">
        <v>0.11196376</v>
      </c>
      <c r="AF66">
        <v>0.13557263999999999</v>
      </c>
      <c r="AG66">
        <v>2.1606060999999999</v>
      </c>
      <c r="AH66">
        <v>2.7442655999999999</v>
      </c>
      <c r="AI66">
        <v>1.7902415</v>
      </c>
      <c r="AJ66">
        <v>4.8742028E-2</v>
      </c>
      <c r="AK66">
        <v>4.9779624000000001E-2</v>
      </c>
      <c r="AL66">
        <v>1.3202673E-2</v>
      </c>
      <c r="AM66">
        <v>5.1771936999999999E-3</v>
      </c>
      <c r="AN66">
        <v>2.0048243E-2</v>
      </c>
      <c r="AO66">
        <v>0</v>
      </c>
      <c r="AP66">
        <v>0.53284726000000004</v>
      </c>
      <c r="AQ66">
        <v>0.60006932000000002</v>
      </c>
      <c r="AR66">
        <v>5.1904628999999997E-3</v>
      </c>
      <c r="AS66">
        <v>4.8253701999999999E-3</v>
      </c>
      <c r="AT66">
        <v>9.0972545000000005E-3</v>
      </c>
      <c r="AU66">
        <v>5.2528712999999998E-2</v>
      </c>
      <c r="AV66">
        <v>7.4447944000000002E-2</v>
      </c>
      <c r="AW66">
        <v>5.8123077000000002E-2</v>
      </c>
      <c r="AX66">
        <v>6.0337372E-2</v>
      </c>
      <c r="AY66">
        <v>7.6744628999999995E-2</v>
      </c>
      <c r="AZ66">
        <v>0</v>
      </c>
      <c r="BA66">
        <v>3191.9665</v>
      </c>
      <c r="BB66">
        <v>3016.6217999999999</v>
      </c>
    </row>
    <row r="67" spans="1:54" x14ac:dyDescent="0.2">
      <c r="A67" t="s">
        <v>195</v>
      </c>
      <c r="B67" t="s">
        <v>194</v>
      </c>
      <c r="C67" s="1">
        <v>8.3171999999999999E-8</v>
      </c>
      <c r="D67" s="1">
        <v>6.4453767999999995E-8</v>
      </c>
      <c r="E67" s="1">
        <v>7.8666377000000002E-8</v>
      </c>
      <c r="F67" s="1">
        <v>7.2910058999999998E-8</v>
      </c>
      <c r="G67" s="1">
        <v>6.4780679000000003E-8</v>
      </c>
      <c r="H67" s="1">
        <v>6.0357182999999998E-9</v>
      </c>
      <c r="I67" s="1">
        <v>2.3739673000000001E-8</v>
      </c>
      <c r="J67" s="1">
        <v>4.4156456000000002E-8</v>
      </c>
      <c r="K67" s="1">
        <v>3.2199696E-8</v>
      </c>
      <c r="L67" s="1">
        <v>2.4308157999999999E-8</v>
      </c>
      <c r="M67" s="1">
        <v>1.4787694E-8</v>
      </c>
      <c r="N67" s="1">
        <v>1.6514862000000002E-8</v>
      </c>
      <c r="O67" s="1">
        <v>1.8575815000000001E-8</v>
      </c>
      <c r="P67" s="1">
        <v>7.1818478000000002E-8</v>
      </c>
      <c r="Q67" s="1">
        <v>3.3574074999999999E-9</v>
      </c>
      <c r="R67" s="1">
        <v>2.3149993000000002E-9</v>
      </c>
      <c r="S67" s="1">
        <v>3.5701619000000002E-9</v>
      </c>
      <c r="T67" s="1">
        <v>5.0576642000000002E-9</v>
      </c>
      <c r="U67" s="1">
        <v>1.3400999E-8</v>
      </c>
      <c r="V67" s="1">
        <v>8.0194652000000006E-8</v>
      </c>
      <c r="W67" s="1">
        <v>5.4771726E-7</v>
      </c>
      <c r="X67" s="1">
        <v>2.6766145999999999E-6</v>
      </c>
      <c r="Y67" s="1">
        <v>3.3863607E-6</v>
      </c>
      <c r="Z67" s="1">
        <v>1.1807263000000001E-6</v>
      </c>
      <c r="AA67" s="1">
        <v>6.7927586E-7</v>
      </c>
      <c r="AB67" s="1">
        <v>1.8685758000000002E-8</v>
      </c>
      <c r="AC67" s="1">
        <v>2.7962384E-6</v>
      </c>
      <c r="AD67" s="1">
        <v>9.6934750999999998E-8</v>
      </c>
      <c r="AE67" s="1">
        <v>5.6213606000000003E-8</v>
      </c>
      <c r="AF67" s="1">
        <v>5.9936395000000005E-8</v>
      </c>
      <c r="AG67">
        <v>1.7684575999999999E-4</v>
      </c>
      <c r="AH67" s="1">
        <v>1.3344801E-9</v>
      </c>
      <c r="AI67" s="1">
        <v>5.8573785999999997E-7</v>
      </c>
      <c r="AJ67" s="1">
        <v>1.4323958000000001E-5</v>
      </c>
      <c r="AK67" s="1">
        <v>1.7027876000000001E-5</v>
      </c>
      <c r="AL67" s="1">
        <v>1.4364454999999999E-9</v>
      </c>
      <c r="AM67" s="1">
        <v>3.0938325000000002E-10</v>
      </c>
      <c r="AN67" s="1">
        <v>5.1475186000000002E-10</v>
      </c>
      <c r="AO67" s="1">
        <v>0</v>
      </c>
      <c r="AP67" s="1">
        <v>1.241926E-6</v>
      </c>
      <c r="AQ67" s="1">
        <v>4.3905109999999997E-8</v>
      </c>
      <c r="AR67" s="1">
        <v>1.2442047E-8</v>
      </c>
      <c r="AS67" s="1">
        <v>1.2324614999999999E-8</v>
      </c>
      <c r="AT67" s="1">
        <v>1.9370638999999999E-8</v>
      </c>
      <c r="AU67" s="1">
        <v>8.9424852000000001E-8</v>
      </c>
      <c r="AV67" s="1">
        <v>1.2347051E-7</v>
      </c>
      <c r="AW67" s="1">
        <v>1.0246384E-7</v>
      </c>
      <c r="AX67" s="1">
        <v>1.1505831E-7</v>
      </c>
      <c r="AY67" s="1">
        <v>1.1562745E-7</v>
      </c>
      <c r="AZ67">
        <v>0</v>
      </c>
      <c r="BA67">
        <v>1.0870771999999999E-3</v>
      </c>
      <c r="BB67">
        <v>1.0285019999999999E-3</v>
      </c>
    </row>
    <row r="68" spans="1:54" x14ac:dyDescent="0.2">
      <c r="A68" t="s">
        <v>196</v>
      </c>
      <c r="B68" t="s">
        <v>194</v>
      </c>
      <c r="C68">
        <v>1.270532</v>
      </c>
      <c r="D68">
        <v>0.93504984999999996</v>
      </c>
      <c r="E68">
        <v>1.6276421000000001</v>
      </c>
      <c r="F68">
        <v>0.98371036000000001</v>
      </c>
      <c r="G68">
        <v>1.3911264999999999</v>
      </c>
      <c r="H68">
        <v>0.12284123</v>
      </c>
      <c r="I68">
        <v>1.7558449</v>
      </c>
      <c r="J68">
        <v>1.6359162</v>
      </c>
      <c r="K68">
        <v>1.2817063</v>
      </c>
      <c r="L68">
        <v>0.98399923</v>
      </c>
      <c r="M68">
        <v>0.40736865999999999</v>
      </c>
      <c r="N68">
        <v>0.43646537000000002</v>
      </c>
      <c r="O68">
        <v>0.15179965000000001</v>
      </c>
      <c r="P68">
        <v>0.53218684000000005</v>
      </c>
      <c r="Q68">
        <v>4.4236802999999998E-2</v>
      </c>
      <c r="R68">
        <v>6.8076001999999997E-2</v>
      </c>
      <c r="S68">
        <v>0.1356405</v>
      </c>
      <c r="T68">
        <v>0.21872042</v>
      </c>
      <c r="U68">
        <v>0.16346103000000001</v>
      </c>
      <c r="V68">
        <v>0.28832772000000001</v>
      </c>
      <c r="W68">
        <v>0.71493510999999998</v>
      </c>
      <c r="X68">
        <v>0.69600470000000003</v>
      </c>
      <c r="Y68">
        <v>1.3436374</v>
      </c>
      <c r="Z68">
        <v>2.1489554000000002</v>
      </c>
      <c r="AA68">
        <v>1.0451257</v>
      </c>
      <c r="AB68">
        <v>4.3730360000000003E-2</v>
      </c>
      <c r="AC68">
        <v>5.0964052000000004</v>
      </c>
      <c r="AD68">
        <v>5.9246331999999999E-2</v>
      </c>
      <c r="AE68">
        <v>0.11159259000000001</v>
      </c>
      <c r="AF68">
        <v>0.13513922</v>
      </c>
      <c r="AG68">
        <v>2.1161813</v>
      </c>
      <c r="AH68">
        <v>2.7409576000000002</v>
      </c>
      <c r="AI68">
        <v>1.7880803000000001</v>
      </c>
      <c r="AJ68">
        <v>4.8532764999999999E-2</v>
      </c>
      <c r="AK68">
        <v>4.9569009999999997E-2</v>
      </c>
      <c r="AL68">
        <v>1.3183062000000001E-2</v>
      </c>
      <c r="AM68">
        <v>4.0975821999999999E-3</v>
      </c>
      <c r="AN68">
        <v>5.3622886E-3</v>
      </c>
      <c r="AO68">
        <v>0</v>
      </c>
      <c r="AP68">
        <v>0.52613416000000002</v>
      </c>
      <c r="AQ68">
        <v>0.59808662999999995</v>
      </c>
      <c r="AR68">
        <v>5.1755676999999996E-3</v>
      </c>
      <c r="AS68">
        <v>4.8109201000000002E-3</v>
      </c>
      <c r="AT68">
        <v>9.0631384000000002E-3</v>
      </c>
      <c r="AU68">
        <v>5.2049312E-2</v>
      </c>
      <c r="AV68">
        <v>7.3780782000000003E-2</v>
      </c>
      <c r="AW68">
        <v>5.7573195000000001E-2</v>
      </c>
      <c r="AX68">
        <v>5.9715566999999997E-2</v>
      </c>
      <c r="AY68">
        <v>7.6307889000000004E-2</v>
      </c>
      <c r="AZ68">
        <v>0</v>
      </c>
      <c r="BA68">
        <v>3182.7103000000002</v>
      </c>
      <c r="BB68">
        <v>3007.8696</v>
      </c>
    </row>
    <row r="69" spans="1:54" x14ac:dyDescent="0.2">
      <c r="A69" t="s">
        <v>197</v>
      </c>
      <c r="B69" t="s">
        <v>194</v>
      </c>
      <c r="C69">
        <v>3.7925993999999999E-4</v>
      </c>
      <c r="D69">
        <v>3.2995578000000002E-4</v>
      </c>
      <c r="E69">
        <v>4.2198619000000001E-4</v>
      </c>
      <c r="F69">
        <v>3.8451521000000002E-4</v>
      </c>
      <c r="G69">
        <v>3.814725E-4</v>
      </c>
      <c r="H69" s="1">
        <v>1.979883E-5</v>
      </c>
      <c r="I69" s="1">
        <v>7.1233770999999996E-5</v>
      </c>
      <c r="J69">
        <v>7.4761665E-4</v>
      </c>
      <c r="K69">
        <v>9.1391726999999999E-4</v>
      </c>
      <c r="L69">
        <v>4.7591232000000002E-4</v>
      </c>
      <c r="M69">
        <v>1.8026587E-4</v>
      </c>
      <c r="N69">
        <v>1.6091822000000001E-4</v>
      </c>
      <c r="O69">
        <v>1.1321209000000001E-4</v>
      </c>
      <c r="P69">
        <v>1.5336230000000001E-4</v>
      </c>
      <c r="Q69" s="1">
        <v>9.9276892000000003E-5</v>
      </c>
      <c r="R69" s="1">
        <v>6.8857429999999998E-5</v>
      </c>
      <c r="S69" s="1">
        <v>8.7643366000000002E-5</v>
      </c>
      <c r="T69">
        <v>1.1695776E-4</v>
      </c>
      <c r="U69">
        <v>2.9011625000000002E-4</v>
      </c>
      <c r="V69">
        <v>0.45422910999999999</v>
      </c>
      <c r="W69">
        <v>0.95608583999999996</v>
      </c>
      <c r="X69">
        <v>1.5230884</v>
      </c>
      <c r="Y69">
        <v>2.2849571000000002</v>
      </c>
      <c r="Z69">
        <v>9.1655388000000003E-4</v>
      </c>
      <c r="AA69">
        <v>1.4303467999999999E-3</v>
      </c>
      <c r="AB69" s="1">
        <v>1.7811142000000001E-5</v>
      </c>
      <c r="AC69">
        <v>7.4288469000000001E-3</v>
      </c>
      <c r="AD69">
        <v>1.7028413999999999E-4</v>
      </c>
      <c r="AE69">
        <v>2.2966313000000001E-4</v>
      </c>
      <c r="AF69">
        <v>2.8944326E-4</v>
      </c>
      <c r="AG69">
        <v>2.2870371E-2</v>
      </c>
      <c r="AH69">
        <v>3.3072012000000001E-3</v>
      </c>
      <c r="AI69">
        <v>1.8054878E-3</v>
      </c>
      <c r="AJ69">
        <v>1.5088775000000001E-4</v>
      </c>
      <c r="AK69" s="1">
        <v>1.5215498000000001E-4</v>
      </c>
      <c r="AL69" s="1">
        <v>1.4556915000000001E-5</v>
      </c>
      <c r="AM69">
        <v>1.0784131000000001E-3</v>
      </c>
      <c r="AN69">
        <v>3.8655058999999999E-3</v>
      </c>
      <c r="AO69">
        <v>0</v>
      </c>
      <c r="AP69">
        <v>6.5381459999999999E-3</v>
      </c>
      <c r="AQ69" s="1">
        <v>1.6576053E-3</v>
      </c>
      <c r="AR69" s="1">
        <v>1.1050297999999999E-5</v>
      </c>
      <c r="AS69" s="1">
        <v>1.0632229000000001E-5</v>
      </c>
      <c r="AT69" s="1">
        <v>2.7919028000000001E-5</v>
      </c>
      <c r="AU69">
        <v>4.6639537000000002E-4</v>
      </c>
      <c r="AV69">
        <v>6.4952193999999995E-4</v>
      </c>
      <c r="AW69">
        <v>5.3503937E-4</v>
      </c>
      <c r="AX69">
        <v>6.0554776999999997E-4</v>
      </c>
      <c r="AY69">
        <v>3.2876843999999998E-4</v>
      </c>
      <c r="AZ69">
        <v>0</v>
      </c>
      <c r="BA69">
        <v>5.9039020000000004</v>
      </c>
      <c r="BB69">
        <v>5.5844887999999999</v>
      </c>
    </row>
    <row r="70" spans="1:54" x14ac:dyDescent="0.2">
      <c r="A70" t="s">
        <v>198</v>
      </c>
      <c r="B70" t="s">
        <v>194</v>
      </c>
      <c r="C70">
        <v>3.4980925E-4</v>
      </c>
      <c r="D70">
        <v>2.4416309000000001E-4</v>
      </c>
      <c r="E70">
        <v>3.3515196999999998E-4</v>
      </c>
      <c r="F70">
        <v>3.6683640000000002E-4</v>
      </c>
      <c r="G70">
        <v>3.0916594000000001E-4</v>
      </c>
      <c r="H70" s="1">
        <v>7.0196163999999999E-5</v>
      </c>
      <c r="I70">
        <v>1.3998048E-4</v>
      </c>
      <c r="J70">
        <v>2.6881026999999997E-4</v>
      </c>
      <c r="K70">
        <v>2.9582996000000002E-4</v>
      </c>
      <c r="L70">
        <v>2.4664553999999999E-4</v>
      </c>
      <c r="M70" s="1">
        <v>9.1743980000000007E-5</v>
      </c>
      <c r="N70" s="1">
        <v>7.3633516000000003E-5</v>
      </c>
      <c r="O70" s="1">
        <v>6.5863822999999994E-5</v>
      </c>
      <c r="P70">
        <v>3.8399931E-4</v>
      </c>
      <c r="Q70" s="1">
        <v>1.1554053E-5</v>
      </c>
      <c r="R70" s="1">
        <v>2.6797024E-5</v>
      </c>
      <c r="S70" s="1">
        <v>4.7951363999999998E-5</v>
      </c>
      <c r="T70" s="1">
        <v>8.3698702999999994E-5</v>
      </c>
      <c r="U70">
        <v>1.818538E-4</v>
      </c>
      <c r="V70" s="1">
        <v>8.0124171999999998E-5</v>
      </c>
      <c r="W70">
        <v>2.723623E-2</v>
      </c>
      <c r="X70">
        <v>3.1170733999999999E-4</v>
      </c>
      <c r="Y70">
        <v>4.1537391999999999E-2</v>
      </c>
      <c r="Z70">
        <v>0.39586811</v>
      </c>
      <c r="AA70">
        <v>0.93350423000000005</v>
      </c>
      <c r="AB70" s="1">
        <v>3.7628890000000001E-5</v>
      </c>
      <c r="AC70">
        <v>1.2110347E-2</v>
      </c>
      <c r="AD70">
        <v>4.382953E-4</v>
      </c>
      <c r="AE70">
        <v>1.4145604000000001E-4</v>
      </c>
      <c r="AF70">
        <v>1.4391067E-4</v>
      </c>
      <c r="AG70">
        <v>2.1377561999999999E-2</v>
      </c>
      <c r="AH70" s="1">
        <v>7.7252385999999996E-7</v>
      </c>
      <c r="AI70" s="1">
        <v>3.5515709000000001E-4</v>
      </c>
      <c r="AJ70" s="1">
        <v>4.4051680999999998E-5</v>
      </c>
      <c r="AK70" s="1">
        <v>4.1430519999999997E-5</v>
      </c>
      <c r="AL70" s="1">
        <v>5.0530331999999999E-6</v>
      </c>
      <c r="AM70" s="1">
        <v>1.1980774E-6</v>
      </c>
      <c r="AN70">
        <v>1.0820448E-2</v>
      </c>
      <c r="AO70">
        <v>0</v>
      </c>
      <c r="AP70">
        <v>1.7371431000000001E-4</v>
      </c>
      <c r="AQ70" s="1">
        <v>3.2503768999999998E-4</v>
      </c>
      <c r="AR70" s="1">
        <v>3.8324302000000002E-6</v>
      </c>
      <c r="AS70" s="1">
        <v>3.8055875999999999E-6</v>
      </c>
      <c r="AT70" s="1">
        <v>6.1777059999999999E-6</v>
      </c>
      <c r="AU70" s="1">
        <v>1.2916015000000001E-5</v>
      </c>
      <c r="AV70" s="1">
        <v>1.7516380999999999E-5</v>
      </c>
      <c r="AW70" s="1">
        <v>1.4739841E-5</v>
      </c>
      <c r="AX70" s="1">
        <v>1.6142532000000001E-5</v>
      </c>
      <c r="AY70">
        <v>1.0785627E-4</v>
      </c>
      <c r="AZ70">
        <v>0</v>
      </c>
      <c r="BA70">
        <v>3.3512304999999998</v>
      </c>
      <c r="BB70">
        <v>3.1667372999999999</v>
      </c>
    </row>
    <row r="71" spans="1:54" x14ac:dyDescent="0.2">
      <c r="A71" t="s">
        <v>199</v>
      </c>
      <c r="B71" t="s">
        <v>194</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row>
    <row r="72" spans="1:54" x14ac:dyDescent="0.2">
      <c r="A72" t="s">
        <v>200</v>
      </c>
      <c r="B72" t="s">
        <v>194</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row>
    <row r="73" spans="1:54" x14ac:dyDescent="0.2">
      <c r="A73" t="s">
        <v>201</v>
      </c>
      <c r="B73" t="s">
        <v>194</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row>
    <row r="74" spans="1:54" x14ac:dyDescent="0.2">
      <c r="A74" t="s">
        <v>202</v>
      </c>
      <c r="B74" t="s">
        <v>194</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row>
    <row r="75" spans="1:54" x14ac:dyDescent="0.2">
      <c r="A75" t="s">
        <v>203</v>
      </c>
      <c r="B75" t="s">
        <v>194</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row>
    <row r="77" spans="1:54" ht="32" x14ac:dyDescent="0.2">
      <c r="A77" s="5" t="s">
        <v>364</v>
      </c>
      <c r="C77" t="s">
        <v>154</v>
      </c>
      <c r="D77" t="s">
        <v>155</v>
      </c>
      <c r="E77" t="s">
        <v>156</v>
      </c>
      <c r="F77" t="s">
        <v>157</v>
      </c>
      <c r="G77" t="s">
        <v>158</v>
      </c>
      <c r="H77" t="s">
        <v>159</v>
      </c>
      <c r="I77" t="s">
        <v>160</v>
      </c>
      <c r="J77" t="s">
        <v>161</v>
      </c>
      <c r="K77" t="s">
        <v>162</v>
      </c>
      <c r="L77" t="s">
        <v>163</v>
      </c>
      <c r="M77" t="s">
        <v>164</v>
      </c>
      <c r="N77" t="s">
        <v>165</v>
      </c>
      <c r="O77" t="s">
        <v>166</v>
      </c>
      <c r="P77" t="s">
        <v>167</v>
      </c>
      <c r="Q77" t="s">
        <v>168</v>
      </c>
      <c r="R77" t="s">
        <v>169</v>
      </c>
      <c r="S77" t="s">
        <v>170</v>
      </c>
      <c r="T77" t="s">
        <v>171</v>
      </c>
      <c r="U77" t="s">
        <v>172</v>
      </c>
      <c r="V77" t="s">
        <v>173</v>
      </c>
      <c r="W77" t="s">
        <v>174</v>
      </c>
      <c r="X77" t="s">
        <v>175</v>
      </c>
      <c r="Y77" t="s">
        <v>176</v>
      </c>
      <c r="Z77" t="s">
        <v>177</v>
      </c>
      <c r="AA77" t="s">
        <v>178</v>
      </c>
      <c r="AB77" t="s">
        <v>179</v>
      </c>
      <c r="AC77" t="s">
        <v>180</v>
      </c>
      <c r="AD77" t="s">
        <v>181</v>
      </c>
      <c r="AE77" t="s">
        <v>182</v>
      </c>
      <c r="AF77" t="s">
        <v>183</v>
      </c>
      <c r="AG77" t="s">
        <v>184</v>
      </c>
      <c r="AH77" t="s">
        <v>234</v>
      </c>
      <c r="AI77" t="s">
        <v>233</v>
      </c>
      <c r="AJ77" t="s">
        <v>217</v>
      </c>
      <c r="AK77" t="s">
        <v>216</v>
      </c>
      <c r="AL77" t="s">
        <v>185</v>
      </c>
      <c r="AM77" t="s">
        <v>186</v>
      </c>
      <c r="AN77" t="s">
        <v>187</v>
      </c>
      <c r="AO77" t="s">
        <v>188</v>
      </c>
      <c r="AP77" t="s">
        <v>189</v>
      </c>
      <c r="AQ77" t="s">
        <v>190</v>
      </c>
      <c r="AR77" t="s">
        <v>215</v>
      </c>
      <c r="AS77" t="s">
        <v>214</v>
      </c>
      <c r="AT77" t="s">
        <v>218</v>
      </c>
      <c r="AU77" t="s">
        <v>222</v>
      </c>
      <c r="AV77" t="s">
        <v>221</v>
      </c>
      <c r="AW77" t="s">
        <v>219</v>
      </c>
      <c r="AX77" t="s">
        <v>220</v>
      </c>
      <c r="AY77" t="s">
        <v>191</v>
      </c>
      <c r="AZ77" t="s">
        <v>192</v>
      </c>
      <c r="BA77" t="s">
        <v>653</v>
      </c>
      <c r="BB77" t="s">
        <v>656</v>
      </c>
    </row>
    <row r="78" spans="1:54" ht="131" customHeight="1" x14ac:dyDescent="0.2">
      <c r="A78" s="5" t="s">
        <v>363</v>
      </c>
      <c r="C78" s="23" t="s">
        <v>298</v>
      </c>
      <c r="D78" s="23" t="s">
        <v>299</v>
      </c>
      <c r="E78" s="23" t="s">
        <v>300</v>
      </c>
      <c r="F78" s="23" t="s">
        <v>301</v>
      </c>
      <c r="G78" s="23" t="s">
        <v>302</v>
      </c>
      <c r="H78" s="23" t="s">
        <v>303</v>
      </c>
      <c r="I78" s="23" t="s">
        <v>304</v>
      </c>
      <c r="J78" s="23" t="s">
        <v>305</v>
      </c>
      <c r="K78" s="23" t="s">
        <v>306</v>
      </c>
      <c r="L78" s="23" t="s">
        <v>307</v>
      </c>
      <c r="M78" s="23" t="s">
        <v>308</v>
      </c>
      <c r="N78" s="23" t="s">
        <v>309</v>
      </c>
      <c r="O78" s="23" t="s">
        <v>310</v>
      </c>
      <c r="P78" s="23" t="s">
        <v>311</v>
      </c>
      <c r="Q78" s="23" t="s">
        <v>312</v>
      </c>
      <c r="R78" s="23" t="s">
        <v>313</v>
      </c>
      <c r="S78" s="23" t="s">
        <v>314</v>
      </c>
      <c r="T78" s="23" t="s">
        <v>315</v>
      </c>
      <c r="U78" s="23" t="s">
        <v>316</v>
      </c>
      <c r="V78" s="23" t="s">
        <v>317</v>
      </c>
      <c r="W78" s="23" t="s">
        <v>318</v>
      </c>
      <c r="X78" s="23" t="s">
        <v>319</v>
      </c>
      <c r="Y78" s="23" t="s">
        <v>320</v>
      </c>
      <c r="Z78" s="23" t="s">
        <v>321</v>
      </c>
      <c r="AA78" s="23" t="s">
        <v>322</v>
      </c>
      <c r="AB78" s="23" t="s">
        <v>323</v>
      </c>
      <c r="AC78" s="23" t="s">
        <v>324</v>
      </c>
      <c r="AD78" s="23" t="s">
        <v>325</v>
      </c>
      <c r="AE78" s="23" t="s">
        <v>326</v>
      </c>
      <c r="AF78" s="23" t="s">
        <v>327</v>
      </c>
      <c r="AG78" s="23" t="s">
        <v>328</v>
      </c>
      <c r="AH78" s="23" t="s">
        <v>329</v>
      </c>
      <c r="AI78" s="23" t="s">
        <v>330</v>
      </c>
      <c r="AJ78" s="23" t="s">
        <v>331</v>
      </c>
      <c r="AK78" s="23" t="s">
        <v>332</v>
      </c>
      <c r="AL78" s="23" t="s">
        <v>333</v>
      </c>
      <c r="AM78" s="23" t="s">
        <v>334</v>
      </c>
      <c r="AN78" s="23" t="s">
        <v>335</v>
      </c>
      <c r="AO78" s="23" t="s">
        <v>336</v>
      </c>
      <c r="AP78" s="23" t="s">
        <v>337</v>
      </c>
      <c r="AQ78" s="23" t="s">
        <v>338</v>
      </c>
      <c r="AR78" s="23" t="s">
        <v>339</v>
      </c>
      <c r="AS78" s="23" t="s">
        <v>340</v>
      </c>
      <c r="AT78" s="23" t="s">
        <v>341</v>
      </c>
      <c r="AU78" s="23" t="s">
        <v>342</v>
      </c>
      <c r="AV78" s="23" t="s">
        <v>343</v>
      </c>
      <c r="AW78" s="23" t="s">
        <v>344</v>
      </c>
      <c r="AX78" s="23" t="s">
        <v>345</v>
      </c>
      <c r="AY78" s="23" t="s">
        <v>346</v>
      </c>
      <c r="AZ78" s="23" t="s">
        <v>347</v>
      </c>
      <c r="BA78" s="5" t="s">
        <v>654</v>
      </c>
      <c r="BB78" s="5" t="s">
        <v>655</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4AB0-D91B-4DDC-B2CB-BB46B51210AB}">
  <dimension ref="A2:N62"/>
  <sheetViews>
    <sheetView topLeftCell="B1" zoomScale="90" zoomScaleNormal="90" workbookViewId="0">
      <selection activeCell="I36" sqref="I36"/>
    </sheetView>
  </sheetViews>
  <sheetFormatPr baseColWidth="10" defaultColWidth="10.83203125" defaultRowHeight="15" x14ac:dyDescent="0.2"/>
  <cols>
    <col min="1" max="1" width="63.83203125" bestFit="1" customWidth="1"/>
    <col min="2" max="2" width="65.83203125" customWidth="1"/>
    <col min="3" max="3" width="26.83203125" customWidth="1"/>
    <col min="4" max="4" width="14.5" bestFit="1" customWidth="1"/>
    <col min="8" max="8" width="26.83203125" bestFit="1" customWidth="1"/>
    <col min="9" max="9" width="51.6640625" style="5" customWidth="1"/>
    <col min="10" max="10" width="53.1640625" style="5" customWidth="1"/>
  </cols>
  <sheetData>
    <row r="2" spans="1:10" ht="16" x14ac:dyDescent="0.2">
      <c r="A2" t="s">
        <v>223</v>
      </c>
      <c r="B2" t="s">
        <v>208</v>
      </c>
      <c r="C2" t="s">
        <v>205</v>
      </c>
      <c r="D2" t="s">
        <v>209</v>
      </c>
      <c r="E2" t="s">
        <v>210</v>
      </c>
      <c r="F2" t="s">
        <v>211</v>
      </c>
      <c r="G2" t="s">
        <v>212</v>
      </c>
      <c r="H2" s="2" t="s">
        <v>236</v>
      </c>
      <c r="I2" s="5" t="s">
        <v>356</v>
      </c>
      <c r="J2" s="5" t="s">
        <v>287</v>
      </c>
    </row>
    <row r="3" spans="1:10" x14ac:dyDescent="0.2">
      <c r="A3" t="s">
        <v>154</v>
      </c>
      <c r="B3" t="s">
        <v>91</v>
      </c>
      <c r="C3" t="s">
        <v>194</v>
      </c>
      <c r="D3" cm="1">
        <f t="array" ref="D3:D54">TRANSPOSE(CExD!C66:BB66)</f>
        <v>108.92604</v>
      </c>
      <c r="E3" cm="1">
        <f t="array" ref="E3:E54">TRANSPOSE(CED!C66:BB66)</f>
        <v>57.360731000000001</v>
      </c>
      <c r="F3" cm="1">
        <f t="array" ref="F3:F54">TRANSPOSE('GWP 100'!C66:BB66)</f>
        <v>0.87477159999999998</v>
      </c>
      <c r="G3" cm="1">
        <f t="array" ref="G3:G54">TRANSPOSE('GWP 20'!C66:BB66)</f>
        <v>1.2712611</v>
      </c>
      <c r="H3">
        <v>46.5</v>
      </c>
    </row>
    <row r="4" spans="1:10" x14ac:dyDescent="0.2">
      <c r="A4" t="s">
        <v>155</v>
      </c>
      <c r="B4" t="s">
        <v>92</v>
      </c>
      <c r="C4" t="s">
        <v>194</v>
      </c>
      <c r="D4">
        <v>98.690984999999998</v>
      </c>
      <c r="E4">
        <v>54.389346000000003</v>
      </c>
      <c r="F4">
        <v>0.64527084999999995</v>
      </c>
      <c r="G4">
        <v>0.93562403000000005</v>
      </c>
      <c r="H4">
        <v>46.5</v>
      </c>
    </row>
    <row r="5" spans="1:10" x14ac:dyDescent="0.2">
      <c r="A5" t="s">
        <v>156</v>
      </c>
      <c r="B5" t="s">
        <v>93</v>
      </c>
      <c r="C5" t="s">
        <v>194</v>
      </c>
      <c r="D5">
        <v>117.53939</v>
      </c>
      <c r="E5">
        <v>56.314829000000003</v>
      </c>
      <c r="F5">
        <v>0.93962798000000003</v>
      </c>
      <c r="G5">
        <v>1.6283993999999999</v>
      </c>
      <c r="H5">
        <v>46.5</v>
      </c>
    </row>
    <row r="6" spans="1:10" ht="16" x14ac:dyDescent="0.2">
      <c r="A6" t="s">
        <v>157</v>
      </c>
      <c r="B6" t="s">
        <v>94</v>
      </c>
      <c r="C6" t="s">
        <v>194</v>
      </c>
      <c r="D6">
        <v>162.18393</v>
      </c>
      <c r="E6">
        <v>56.315071000000003</v>
      </c>
      <c r="F6">
        <v>0.73275721999999999</v>
      </c>
      <c r="G6">
        <v>0.98446177999999995</v>
      </c>
      <c r="H6">
        <v>46.5</v>
      </c>
      <c r="J6" s="5" t="s">
        <v>284</v>
      </c>
    </row>
    <row r="7" spans="1:10" x14ac:dyDescent="0.2">
      <c r="A7" t="s">
        <v>158</v>
      </c>
      <c r="B7" t="s">
        <v>95</v>
      </c>
      <c r="C7" t="s">
        <v>194</v>
      </c>
      <c r="D7">
        <v>104.61675</v>
      </c>
      <c r="E7">
        <v>53.170808999999998</v>
      </c>
      <c r="F7">
        <v>0.81325082999999998</v>
      </c>
      <c r="G7">
        <v>1.3918172</v>
      </c>
      <c r="H7">
        <v>46.5</v>
      </c>
    </row>
    <row r="8" spans="1:10" x14ac:dyDescent="0.2">
      <c r="A8" t="s">
        <v>159</v>
      </c>
      <c r="B8" t="s">
        <v>229</v>
      </c>
      <c r="C8" t="s">
        <v>206</v>
      </c>
      <c r="D8">
        <v>42.204534000000002</v>
      </c>
      <c r="E8">
        <v>39.996946000000001</v>
      </c>
      <c r="F8">
        <v>0.1066246</v>
      </c>
      <c r="G8">
        <v>0.12293123</v>
      </c>
      <c r="H8">
        <v>36</v>
      </c>
    </row>
    <row r="9" spans="1:10" x14ac:dyDescent="0.2">
      <c r="A9" t="s">
        <v>160</v>
      </c>
      <c r="B9" t="s">
        <v>96</v>
      </c>
      <c r="C9" t="s">
        <v>206</v>
      </c>
      <c r="D9">
        <v>57.680362000000002</v>
      </c>
      <c r="E9">
        <v>46.103813000000002</v>
      </c>
      <c r="F9">
        <v>0.88686076000000003</v>
      </c>
      <c r="G9">
        <v>1.7560560999999999</v>
      </c>
      <c r="H9">
        <v>36</v>
      </c>
    </row>
    <row r="10" spans="1:10" ht="16" x14ac:dyDescent="0.2">
      <c r="A10" t="s">
        <v>161</v>
      </c>
      <c r="B10" t="s">
        <v>97</v>
      </c>
      <c r="C10" t="s">
        <v>206</v>
      </c>
      <c r="D10">
        <v>153.17616000000001</v>
      </c>
      <c r="E10">
        <v>53.305906999999998</v>
      </c>
      <c r="F10">
        <v>1.0973134</v>
      </c>
      <c r="G10">
        <v>1.6369327</v>
      </c>
      <c r="H10">
        <v>36</v>
      </c>
      <c r="J10" s="5" t="s">
        <v>285</v>
      </c>
    </row>
    <row r="11" spans="1:10" x14ac:dyDescent="0.2">
      <c r="A11" t="s">
        <v>162</v>
      </c>
      <c r="B11" t="s">
        <v>98</v>
      </c>
      <c r="C11" t="s">
        <v>206</v>
      </c>
      <c r="D11">
        <v>171.14431999999999</v>
      </c>
      <c r="E11">
        <v>51.754899999999999</v>
      </c>
      <c r="F11">
        <v>0.90990722000000002</v>
      </c>
      <c r="G11">
        <v>1.2829161</v>
      </c>
      <c r="H11">
        <v>36</v>
      </c>
    </row>
    <row r="12" spans="1:10" x14ac:dyDescent="0.2">
      <c r="A12" t="s">
        <v>163</v>
      </c>
      <c r="B12" t="s">
        <v>99</v>
      </c>
      <c r="C12" t="s">
        <v>194</v>
      </c>
      <c r="D12">
        <v>98.883330000000001</v>
      </c>
      <c r="E12">
        <v>28.109442999999999</v>
      </c>
      <c r="F12">
        <v>0.47431436999999999</v>
      </c>
      <c r="G12">
        <v>0.98472181999999997</v>
      </c>
      <c r="H12">
        <v>19.7</v>
      </c>
    </row>
    <row r="13" spans="1:10" x14ac:dyDescent="0.2">
      <c r="A13" t="s">
        <v>164</v>
      </c>
      <c r="B13" t="s">
        <v>100</v>
      </c>
      <c r="C13" t="s">
        <v>194</v>
      </c>
      <c r="D13">
        <v>54.420203000000001</v>
      </c>
      <c r="E13">
        <v>27.938123999999998</v>
      </c>
      <c r="F13">
        <v>0.23049895000000001</v>
      </c>
      <c r="G13">
        <v>0.40764067999999998</v>
      </c>
      <c r="H13">
        <v>19.7</v>
      </c>
    </row>
    <row r="14" spans="1:10" x14ac:dyDescent="0.2">
      <c r="A14" t="s">
        <v>165</v>
      </c>
      <c r="B14" t="s">
        <v>101</v>
      </c>
      <c r="C14" t="s">
        <v>194</v>
      </c>
      <c r="D14">
        <v>52.711323999999998</v>
      </c>
      <c r="E14">
        <v>29.462471000000001</v>
      </c>
      <c r="F14">
        <v>0.26834954</v>
      </c>
      <c r="G14">
        <v>0.43669994000000001</v>
      </c>
      <c r="H14">
        <v>19.7</v>
      </c>
    </row>
    <row r="15" spans="1:10" x14ac:dyDescent="0.2">
      <c r="A15" t="s">
        <v>166</v>
      </c>
      <c r="B15" t="s">
        <v>102</v>
      </c>
      <c r="C15" t="s">
        <v>194</v>
      </c>
      <c r="D15">
        <v>42.488933000000003</v>
      </c>
      <c r="E15">
        <v>25.786366999999998</v>
      </c>
      <c r="F15">
        <v>0.12668802000000001</v>
      </c>
      <c r="G15">
        <v>0.15197874</v>
      </c>
      <c r="H15">
        <v>19.7</v>
      </c>
    </row>
    <row r="16" spans="1:10" x14ac:dyDescent="0.2">
      <c r="A16" t="s">
        <v>167</v>
      </c>
      <c r="B16" t="s">
        <v>103</v>
      </c>
      <c r="C16" t="s">
        <v>194</v>
      </c>
      <c r="D16">
        <v>44.143656999999997</v>
      </c>
      <c r="E16">
        <v>20.724696000000002</v>
      </c>
      <c r="F16">
        <v>0.40057738999999998</v>
      </c>
      <c r="G16">
        <v>0.53272428000000005</v>
      </c>
      <c r="H16">
        <v>19.7</v>
      </c>
    </row>
    <row r="17" spans="1:14" x14ac:dyDescent="0.2">
      <c r="A17" t="s">
        <v>168</v>
      </c>
      <c r="B17" t="s">
        <v>104</v>
      </c>
      <c r="C17" t="s">
        <v>194</v>
      </c>
      <c r="D17">
        <v>15.712038</v>
      </c>
      <c r="E17">
        <v>10.303993999999999</v>
      </c>
      <c r="F17">
        <v>2.9413521000000001E-2</v>
      </c>
      <c r="G17">
        <v>4.4347638000000002E-2</v>
      </c>
      <c r="H17">
        <v>10.3</v>
      </c>
    </row>
    <row r="18" spans="1:14" x14ac:dyDescent="0.2">
      <c r="A18" t="s">
        <v>169</v>
      </c>
      <c r="B18" t="s">
        <v>105</v>
      </c>
      <c r="C18" t="s">
        <v>194</v>
      </c>
      <c r="D18">
        <v>19.54278</v>
      </c>
      <c r="E18">
        <v>10.580157</v>
      </c>
      <c r="F18">
        <v>5.0578476999999997E-2</v>
      </c>
      <c r="G18">
        <v>6.8171658999999996E-2</v>
      </c>
      <c r="H18">
        <v>10.3</v>
      </c>
    </row>
    <row r="19" spans="1:14" x14ac:dyDescent="0.2">
      <c r="A19" t="s">
        <v>170</v>
      </c>
      <c r="B19" t="s">
        <v>106</v>
      </c>
      <c r="C19" t="s">
        <v>194</v>
      </c>
      <c r="D19">
        <v>24.229837</v>
      </c>
      <c r="E19">
        <v>11.494517999999999</v>
      </c>
      <c r="F19">
        <v>0.10991257</v>
      </c>
      <c r="G19">
        <v>0.13577610000000001</v>
      </c>
      <c r="H19">
        <v>10.3</v>
      </c>
    </row>
    <row r="20" spans="1:14" x14ac:dyDescent="0.2">
      <c r="A20" t="s">
        <v>171</v>
      </c>
      <c r="B20" t="s">
        <v>107</v>
      </c>
      <c r="C20" t="s">
        <v>194</v>
      </c>
      <c r="D20">
        <v>30.991485000000001</v>
      </c>
      <c r="E20">
        <v>12.339482</v>
      </c>
      <c r="F20">
        <v>0.17863202</v>
      </c>
      <c r="G20">
        <v>0.21892107999999999</v>
      </c>
      <c r="H20">
        <v>10.3</v>
      </c>
    </row>
    <row r="21" spans="1:14" x14ac:dyDescent="0.2">
      <c r="A21" t="s">
        <v>172</v>
      </c>
      <c r="B21" t="s">
        <v>108</v>
      </c>
      <c r="C21" t="s">
        <v>194</v>
      </c>
      <c r="D21">
        <v>62.723201000000003</v>
      </c>
      <c r="E21">
        <v>12.430249999999999</v>
      </c>
      <c r="F21">
        <v>0.13434995999999999</v>
      </c>
      <c r="G21">
        <v>0.16393302000000001</v>
      </c>
      <c r="H21">
        <v>10.3</v>
      </c>
    </row>
    <row r="22" spans="1:14" x14ac:dyDescent="0.2">
      <c r="A22" t="s">
        <v>173</v>
      </c>
      <c r="B22" t="s">
        <v>109</v>
      </c>
      <c r="C22" t="s">
        <v>206</v>
      </c>
      <c r="D22">
        <v>66.340434000000002</v>
      </c>
      <c r="E22">
        <v>3.3644400999999999</v>
      </c>
      <c r="F22">
        <v>0.41478690000000001</v>
      </c>
      <c r="G22">
        <v>0.74263703999999997</v>
      </c>
      <c r="H22" t="s">
        <v>358</v>
      </c>
    </row>
    <row r="23" spans="1:14" ht="32" x14ac:dyDescent="0.2">
      <c r="A23" t="s">
        <v>174</v>
      </c>
      <c r="B23" t="s">
        <v>110</v>
      </c>
      <c r="C23" t="s">
        <v>206</v>
      </c>
      <c r="D23">
        <v>92.921800000000005</v>
      </c>
      <c r="E23">
        <v>41.651443</v>
      </c>
      <c r="F23">
        <v>0.99898938000000004</v>
      </c>
      <c r="G23">
        <v>1.6982577000000001</v>
      </c>
      <c r="H23" s="4">
        <f>5.3128*6.405</f>
        <v>34.028484000000006</v>
      </c>
      <c r="I23" s="5" t="s">
        <v>733</v>
      </c>
    </row>
    <row r="24" spans="1:14" x14ac:dyDescent="0.2">
      <c r="A24" t="s">
        <v>175</v>
      </c>
      <c r="B24" t="s">
        <v>111</v>
      </c>
      <c r="C24" t="s">
        <v>206</v>
      </c>
      <c r="D24">
        <v>311.46830999999997</v>
      </c>
      <c r="E24">
        <v>11.469338</v>
      </c>
      <c r="F24">
        <v>1.1311431999999999</v>
      </c>
      <c r="G24">
        <v>2.2194075</v>
      </c>
      <c r="H24" t="s">
        <v>358</v>
      </c>
    </row>
    <row r="25" spans="1:14" ht="32" x14ac:dyDescent="0.2">
      <c r="A25" t="s">
        <v>176</v>
      </c>
      <c r="B25" t="s">
        <v>112</v>
      </c>
      <c r="C25" t="s">
        <v>206</v>
      </c>
      <c r="D25">
        <v>351.82148000000001</v>
      </c>
      <c r="E25">
        <v>69.592837000000003</v>
      </c>
      <c r="F25">
        <v>2.0180210000000001</v>
      </c>
      <c r="G25">
        <v>3.6701351999999998</v>
      </c>
      <c r="H25" s="4">
        <f>5.3128*6.405</f>
        <v>34.028484000000006</v>
      </c>
      <c r="I25" s="5" t="s">
        <v>733</v>
      </c>
    </row>
    <row r="26" spans="1:14" ht="32" x14ac:dyDescent="0.2">
      <c r="A26" t="s">
        <v>177</v>
      </c>
      <c r="B26" t="s">
        <v>113</v>
      </c>
      <c r="C26" t="s">
        <v>194</v>
      </c>
      <c r="D26">
        <v>267.77893999999998</v>
      </c>
      <c r="E26">
        <v>63.811196000000002</v>
      </c>
      <c r="F26">
        <v>2.4007455000000002</v>
      </c>
      <c r="G26">
        <v>2.5457412000000001</v>
      </c>
      <c r="H26" s="4">
        <f>24.84*1.953</f>
        <v>48.512520000000002</v>
      </c>
      <c r="I26" s="5" t="s">
        <v>734</v>
      </c>
    </row>
    <row r="27" spans="1:14" ht="32" x14ac:dyDescent="0.2">
      <c r="A27" t="s">
        <v>178</v>
      </c>
      <c r="B27" t="s">
        <v>114</v>
      </c>
      <c r="C27" t="s">
        <v>194</v>
      </c>
      <c r="D27">
        <v>264.23737999999997</v>
      </c>
      <c r="E27">
        <v>77.168746999999996</v>
      </c>
      <c r="F27">
        <v>1.8223796999999999</v>
      </c>
      <c r="G27">
        <v>1.9800609</v>
      </c>
      <c r="H27" s="4">
        <f>16.006*3.769</f>
        <v>60.326614000000006</v>
      </c>
      <c r="I27" s="5" t="s">
        <v>735</v>
      </c>
    </row>
    <row r="28" spans="1:14" ht="32" x14ac:dyDescent="0.2">
      <c r="A28" t="s">
        <v>179</v>
      </c>
      <c r="B28" t="s">
        <v>115</v>
      </c>
      <c r="C28" t="s">
        <v>194</v>
      </c>
      <c r="D28">
        <v>24.553217</v>
      </c>
      <c r="E28">
        <v>20.620598000000001</v>
      </c>
      <c r="F28">
        <v>3.7261176999999999E-2</v>
      </c>
      <c r="G28">
        <v>4.3785818999999997E-2</v>
      </c>
      <c r="H28" s="4" t="s">
        <v>795</v>
      </c>
      <c r="I28" s="5" t="s">
        <v>359</v>
      </c>
    </row>
    <row r="29" spans="1:14" ht="16" x14ac:dyDescent="0.2">
      <c r="A29" t="s">
        <v>180</v>
      </c>
      <c r="B29" t="s">
        <v>116</v>
      </c>
      <c r="C29" s="3" t="s">
        <v>206</v>
      </c>
      <c r="D29">
        <v>1026.4996000000001</v>
      </c>
      <c r="E29">
        <v>81.792423999999997</v>
      </c>
      <c r="F29">
        <v>4.4600451999999997</v>
      </c>
      <c r="G29">
        <v>5.1159471999999999</v>
      </c>
      <c r="H29" t="s">
        <v>358</v>
      </c>
      <c r="J29" s="6" t="s">
        <v>357</v>
      </c>
      <c r="K29" s="2">
        <f>D29/188.6</f>
        <v>5.4427338282078477</v>
      </c>
      <c r="L29" s="2">
        <f>E29/188.6</f>
        <v>0.43368199363732768</v>
      </c>
      <c r="M29" s="2">
        <f>F29/188.6</f>
        <v>2.3648171792152704E-2</v>
      </c>
      <c r="N29" s="2">
        <f>G29/188.6</f>
        <v>2.7125913043478261E-2</v>
      </c>
    </row>
    <row r="30" spans="1:14" ht="64" x14ac:dyDescent="0.2">
      <c r="A30" t="s">
        <v>181</v>
      </c>
      <c r="B30" t="s">
        <v>117</v>
      </c>
      <c r="C30" t="s">
        <v>194</v>
      </c>
      <c r="D30">
        <v>6.7862698000000004</v>
      </c>
      <c r="E30">
        <v>6.4537538000000003</v>
      </c>
      <c r="F30">
        <v>5.7676601000000001E-2</v>
      </c>
      <c r="G30">
        <v>5.9855008000000001E-2</v>
      </c>
      <c r="H30" s="4" t="s">
        <v>244</v>
      </c>
      <c r="I30" s="5" t="s">
        <v>736</v>
      </c>
    </row>
    <row r="31" spans="1:14" x14ac:dyDescent="0.2">
      <c r="A31" t="s">
        <v>182</v>
      </c>
      <c r="B31" t="s">
        <v>118</v>
      </c>
      <c r="C31" t="s">
        <v>194</v>
      </c>
      <c r="D31">
        <v>30.620650000000001</v>
      </c>
      <c r="E31">
        <v>2.2311510000000001</v>
      </c>
      <c r="F31">
        <v>9.7286948999999998E-2</v>
      </c>
      <c r="G31">
        <v>0.11196376</v>
      </c>
      <c r="H31" t="s">
        <v>358</v>
      </c>
    </row>
    <row r="32" spans="1:14" ht="32" x14ac:dyDescent="0.2">
      <c r="A32" t="s">
        <v>183</v>
      </c>
      <c r="B32" t="s">
        <v>119</v>
      </c>
      <c r="C32" t="s">
        <v>194</v>
      </c>
      <c r="D32">
        <v>58.265819999999998</v>
      </c>
      <c r="E32">
        <v>22.850989999999999</v>
      </c>
      <c r="F32">
        <v>0.11787089000000001</v>
      </c>
      <c r="G32">
        <v>0.13557263999999999</v>
      </c>
      <c r="H32" s="4" t="s">
        <v>795</v>
      </c>
      <c r="I32" s="5" t="s">
        <v>737</v>
      </c>
    </row>
    <row r="33" spans="1:10" x14ac:dyDescent="0.2">
      <c r="A33" t="s">
        <v>184</v>
      </c>
      <c r="B33" t="s">
        <v>120</v>
      </c>
      <c r="C33" t="s">
        <v>194</v>
      </c>
      <c r="D33">
        <v>9906.1059999999998</v>
      </c>
      <c r="E33">
        <v>233.47443999999999</v>
      </c>
      <c r="F33">
        <v>1.9296698999999999</v>
      </c>
      <c r="G33">
        <v>2.1606060999999999</v>
      </c>
      <c r="H33" t="s">
        <v>358</v>
      </c>
    </row>
    <row r="34" spans="1:10" x14ac:dyDescent="0.2">
      <c r="A34" t="s">
        <v>235</v>
      </c>
      <c r="B34" t="s">
        <v>121</v>
      </c>
      <c r="C34" t="s">
        <v>194</v>
      </c>
      <c r="D34">
        <v>75.046132</v>
      </c>
      <c r="E34">
        <v>72.528756999999999</v>
      </c>
      <c r="F34">
        <v>1.7874544999999999</v>
      </c>
      <c r="G34">
        <v>2.7442655999999999</v>
      </c>
      <c r="H34" t="s">
        <v>358</v>
      </c>
    </row>
    <row r="35" spans="1:10" x14ac:dyDescent="0.2">
      <c r="A35" t="s">
        <v>213</v>
      </c>
      <c r="B35" t="s">
        <v>230</v>
      </c>
      <c r="C35" t="s">
        <v>194</v>
      </c>
      <c r="D35">
        <v>150.92881</v>
      </c>
      <c r="E35">
        <v>148.89269999999999</v>
      </c>
      <c r="F35">
        <v>1.5923413</v>
      </c>
      <c r="G35">
        <v>1.7902415</v>
      </c>
      <c r="H35" t="s">
        <v>358</v>
      </c>
    </row>
    <row r="36" spans="1:10" ht="32" x14ac:dyDescent="0.2">
      <c r="A36" t="s">
        <v>217</v>
      </c>
      <c r="B36" t="s">
        <v>122</v>
      </c>
      <c r="C36" t="s">
        <v>207</v>
      </c>
      <c r="D36">
        <v>11.651742</v>
      </c>
      <c r="E36">
        <v>4.4440137000000002</v>
      </c>
      <c r="F36">
        <v>4.0411085999999999E-2</v>
      </c>
      <c r="G36">
        <v>4.8742028E-2</v>
      </c>
      <c r="H36" t="s">
        <v>237</v>
      </c>
      <c r="J36" s="5" t="s">
        <v>738</v>
      </c>
    </row>
    <row r="37" spans="1:10" ht="32" x14ac:dyDescent="0.2">
      <c r="A37" t="s">
        <v>216</v>
      </c>
      <c r="B37" t="s">
        <v>123</v>
      </c>
      <c r="C37" t="s">
        <v>207</v>
      </c>
      <c r="D37">
        <v>13.015597</v>
      </c>
      <c r="E37">
        <v>4.499898</v>
      </c>
      <c r="F37">
        <v>4.1897987999999997E-2</v>
      </c>
      <c r="G37">
        <v>4.9779624000000001E-2</v>
      </c>
      <c r="H37" t="s">
        <v>237</v>
      </c>
      <c r="J37" s="5" t="s">
        <v>739</v>
      </c>
    </row>
    <row r="38" spans="1:10" x14ac:dyDescent="0.2">
      <c r="A38" t="s">
        <v>185</v>
      </c>
      <c r="B38" t="s">
        <v>124</v>
      </c>
      <c r="C38" t="s">
        <v>207</v>
      </c>
      <c r="D38">
        <v>8.8104767000000006</v>
      </c>
      <c r="E38">
        <v>4.0477197</v>
      </c>
      <c r="F38">
        <v>1.1364337E-2</v>
      </c>
      <c r="G38">
        <v>1.3202673E-2</v>
      </c>
      <c r="H38" t="s">
        <v>237</v>
      </c>
    </row>
    <row r="39" spans="1:10" x14ac:dyDescent="0.2">
      <c r="A39" t="s">
        <v>186</v>
      </c>
      <c r="B39" t="s">
        <v>125</v>
      </c>
      <c r="C39" t="s">
        <v>207</v>
      </c>
      <c r="D39">
        <v>2254.6334999999999</v>
      </c>
      <c r="E39">
        <v>3.8326053</v>
      </c>
      <c r="F39">
        <v>4.0116214000000001E-3</v>
      </c>
      <c r="G39">
        <v>5.1771936999999999E-3</v>
      </c>
      <c r="H39" t="s">
        <v>237</v>
      </c>
    </row>
    <row r="40" spans="1:10" x14ac:dyDescent="0.2">
      <c r="A40" t="s">
        <v>187</v>
      </c>
      <c r="B40" t="s">
        <v>126</v>
      </c>
      <c r="C40" t="s">
        <v>207</v>
      </c>
      <c r="D40">
        <v>706.67574999999999</v>
      </c>
      <c r="E40">
        <v>3.8376155000000001</v>
      </c>
      <c r="F40">
        <v>1.6989896000000001E-2</v>
      </c>
      <c r="G40">
        <v>2.0048243E-2</v>
      </c>
      <c r="H40" t="s">
        <v>237</v>
      </c>
    </row>
    <row r="41" spans="1:10" ht="16" x14ac:dyDescent="0.2">
      <c r="A41" t="s">
        <v>188</v>
      </c>
      <c r="B41" t="s">
        <v>127</v>
      </c>
      <c r="C41" t="s">
        <v>207</v>
      </c>
      <c r="D41">
        <v>0</v>
      </c>
      <c r="E41">
        <v>0</v>
      </c>
      <c r="F41">
        <v>0</v>
      </c>
      <c r="G41">
        <v>0</v>
      </c>
      <c r="H41" t="s">
        <v>237</v>
      </c>
      <c r="J41" s="5" t="s">
        <v>740</v>
      </c>
    </row>
    <row r="42" spans="1:10" x14ac:dyDescent="0.2">
      <c r="A42" t="s">
        <v>189</v>
      </c>
      <c r="B42" t="s">
        <v>231</v>
      </c>
      <c r="C42" t="s">
        <v>207</v>
      </c>
      <c r="D42">
        <v>106.92461</v>
      </c>
      <c r="E42">
        <v>9.1851643000000003</v>
      </c>
      <c r="F42">
        <v>0.47567072999999999</v>
      </c>
      <c r="G42">
        <v>0.53284726000000004</v>
      </c>
      <c r="H42" t="s">
        <v>237</v>
      </c>
    </row>
    <row r="43" spans="1:10" x14ac:dyDescent="0.2">
      <c r="A43" t="s">
        <v>190</v>
      </c>
      <c r="B43" t="s">
        <v>232</v>
      </c>
      <c r="C43" t="s">
        <v>207</v>
      </c>
      <c r="D43">
        <v>237.35048</v>
      </c>
      <c r="E43">
        <v>11.566371999999999</v>
      </c>
      <c r="F43">
        <v>0.53415751</v>
      </c>
      <c r="G43">
        <v>0.60006932000000002</v>
      </c>
      <c r="H43" t="s">
        <v>237</v>
      </c>
    </row>
    <row r="44" spans="1:10" ht="32" x14ac:dyDescent="0.2">
      <c r="A44" t="s">
        <v>215</v>
      </c>
      <c r="B44" t="s">
        <v>128</v>
      </c>
      <c r="C44" t="s">
        <v>138</v>
      </c>
      <c r="D44">
        <v>3.960321</v>
      </c>
      <c r="E44">
        <v>1.2439784</v>
      </c>
      <c r="F44">
        <v>4.4952752E-3</v>
      </c>
      <c r="G44">
        <v>5.1904628999999997E-3</v>
      </c>
      <c r="H44" t="s">
        <v>237</v>
      </c>
      <c r="J44" s="5" t="s">
        <v>741</v>
      </c>
    </row>
    <row r="45" spans="1:10" ht="32" x14ac:dyDescent="0.2">
      <c r="A45" t="s">
        <v>214</v>
      </c>
      <c r="B45" t="s">
        <v>129</v>
      </c>
      <c r="C45" t="s">
        <v>138</v>
      </c>
      <c r="D45">
        <v>3.8043830000000001</v>
      </c>
      <c r="E45">
        <v>1.2280443000000001</v>
      </c>
      <c r="F45">
        <v>4.1676663000000001E-3</v>
      </c>
      <c r="G45">
        <v>4.8253701999999999E-3</v>
      </c>
      <c r="H45" t="s">
        <v>237</v>
      </c>
      <c r="J45" s="5" t="s">
        <v>741</v>
      </c>
    </row>
    <row r="46" spans="1:10" ht="16" x14ac:dyDescent="0.2">
      <c r="A46" t="s">
        <v>218</v>
      </c>
      <c r="B46" t="s">
        <v>130</v>
      </c>
      <c r="C46" t="s">
        <v>138</v>
      </c>
      <c r="D46">
        <v>7.6652855999999998</v>
      </c>
      <c r="E46">
        <v>1.6994891999999999</v>
      </c>
      <c r="F46">
        <v>7.8941758000000001E-3</v>
      </c>
      <c r="G46">
        <v>9.0972545000000005E-3</v>
      </c>
      <c r="H46" t="s">
        <v>237</v>
      </c>
      <c r="J46" s="5" t="s">
        <v>742</v>
      </c>
    </row>
    <row r="47" spans="1:10" ht="16" x14ac:dyDescent="0.2">
      <c r="A47" t="s">
        <v>222</v>
      </c>
      <c r="B47" t="s">
        <v>131</v>
      </c>
      <c r="C47" t="s">
        <v>138</v>
      </c>
      <c r="D47">
        <v>7.7898041999999998</v>
      </c>
      <c r="E47">
        <v>1.4191052</v>
      </c>
      <c r="F47">
        <v>4.0095139000000002E-2</v>
      </c>
      <c r="G47">
        <v>5.2528712999999998E-2</v>
      </c>
      <c r="H47" t="s">
        <v>237</v>
      </c>
      <c r="J47" s="5" t="s">
        <v>290</v>
      </c>
    </row>
    <row r="48" spans="1:10" ht="16" x14ac:dyDescent="0.2">
      <c r="A48" t="s">
        <v>221</v>
      </c>
      <c r="B48" t="s">
        <v>132</v>
      </c>
      <c r="C48" t="s">
        <v>138</v>
      </c>
      <c r="D48">
        <v>10.801888999999999</v>
      </c>
      <c r="E48">
        <v>0.92096023999999999</v>
      </c>
      <c r="F48">
        <v>5.5710902999999999E-2</v>
      </c>
      <c r="G48">
        <v>7.4447944000000002E-2</v>
      </c>
      <c r="H48" t="s">
        <v>237</v>
      </c>
      <c r="J48" s="5" t="s">
        <v>290</v>
      </c>
    </row>
    <row r="49" spans="1:10" ht="16" x14ac:dyDescent="0.2">
      <c r="A49" t="s">
        <v>219</v>
      </c>
      <c r="B49" t="s">
        <v>133</v>
      </c>
      <c r="C49" t="s">
        <v>138</v>
      </c>
      <c r="D49">
        <v>8.9124058999999995</v>
      </c>
      <c r="E49">
        <v>1.4774202000000001</v>
      </c>
      <c r="F49">
        <v>4.5089206999999999E-2</v>
      </c>
      <c r="G49">
        <v>5.8123077000000002E-2</v>
      </c>
      <c r="H49" t="s">
        <v>237</v>
      </c>
      <c r="J49" s="5" t="s">
        <v>290</v>
      </c>
    </row>
    <row r="50" spans="1:10" ht="16" x14ac:dyDescent="0.2">
      <c r="A50" t="s">
        <v>220</v>
      </c>
      <c r="B50" t="s">
        <v>134</v>
      </c>
      <c r="C50" t="s">
        <v>138</v>
      </c>
      <c r="D50">
        <v>20.495156000000001</v>
      </c>
      <c r="E50">
        <v>0.85229273000000005</v>
      </c>
      <c r="F50">
        <v>4.8258793000000001E-2</v>
      </c>
      <c r="G50">
        <v>6.0337372E-2</v>
      </c>
      <c r="H50" t="s">
        <v>237</v>
      </c>
      <c r="J50" s="5" t="s">
        <v>290</v>
      </c>
    </row>
    <row r="51" spans="1:10" ht="16" x14ac:dyDescent="0.2">
      <c r="A51" t="s">
        <v>191</v>
      </c>
      <c r="B51" t="s">
        <v>135</v>
      </c>
      <c r="C51" t="s">
        <v>207</v>
      </c>
      <c r="D51">
        <v>1.0316543</v>
      </c>
      <c r="E51">
        <v>8.1407985000000007</v>
      </c>
      <c r="F51">
        <v>6.7600979000000005E-2</v>
      </c>
      <c r="G51">
        <v>7.6744628999999995E-2</v>
      </c>
      <c r="H51" t="s">
        <v>237</v>
      </c>
      <c r="J51" s="5" t="s">
        <v>292</v>
      </c>
    </row>
    <row r="52" spans="1:10" ht="16" x14ac:dyDescent="0.2">
      <c r="A52" t="s">
        <v>192</v>
      </c>
      <c r="B52" t="s">
        <v>136</v>
      </c>
      <c r="C52" t="s">
        <v>138</v>
      </c>
      <c r="D52">
        <v>0</v>
      </c>
      <c r="E52">
        <v>0</v>
      </c>
      <c r="F52">
        <v>0</v>
      </c>
      <c r="G52">
        <v>0</v>
      </c>
      <c r="H52" t="s">
        <v>237</v>
      </c>
      <c r="J52" s="5" t="s">
        <v>743</v>
      </c>
    </row>
    <row r="53" spans="1:10" ht="16" x14ac:dyDescent="0.2">
      <c r="A53" t="s">
        <v>653</v>
      </c>
      <c r="B53" s="5" t="s">
        <v>654</v>
      </c>
      <c r="C53" t="s">
        <v>194</v>
      </c>
      <c r="D53">
        <v>4982781.3</v>
      </c>
      <c r="E53">
        <v>4720911.5</v>
      </c>
      <c r="F53">
        <v>2890.2044999999998</v>
      </c>
      <c r="G53">
        <v>3191.9665</v>
      </c>
      <c r="H53">
        <f>560000*8.37</f>
        <v>4687200</v>
      </c>
      <c r="I53" t="s">
        <v>731</v>
      </c>
    </row>
    <row r="54" spans="1:10" ht="16" x14ac:dyDescent="0.2">
      <c r="A54" t="s">
        <v>656</v>
      </c>
      <c r="B54" s="5" t="s">
        <v>655</v>
      </c>
      <c r="C54" t="s">
        <v>194</v>
      </c>
      <c r="D54">
        <v>4708334.8</v>
      </c>
      <c r="E54">
        <v>4458680.4000000004</v>
      </c>
      <c r="F54">
        <v>2731.3634000000002</v>
      </c>
      <c r="G54">
        <v>3016.6217999999999</v>
      </c>
      <c r="H54">
        <f>560000*7.9</f>
        <v>4424000</v>
      </c>
      <c r="I54" t="s">
        <v>732</v>
      </c>
    </row>
    <row r="62" spans="1:10" x14ac:dyDescent="0.2">
      <c r="A62" s="5"/>
      <c r="B62" s="5"/>
    </row>
  </sheetData>
  <pageMargins left="0.7" right="0.7" top="0.78740157499999996" bottom="0.78740157499999996"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3B3E-0E11-414F-BC6C-34030FDA417A}">
  <dimension ref="A2:BB91"/>
  <sheetViews>
    <sheetView topLeftCell="A65" zoomScaleNormal="100" workbookViewId="0">
      <pane xSplit="2" topLeftCell="Z1" activePane="topRight" state="frozen"/>
      <selection activeCell="R54" sqref="R54"/>
      <selection pane="topRight" activeCell="AP83" sqref="AP83"/>
    </sheetView>
  </sheetViews>
  <sheetFormatPr baseColWidth="10" defaultColWidth="8.6640625" defaultRowHeight="15" x14ac:dyDescent="0.2"/>
  <cols>
    <col min="1" max="1" width="27" customWidth="1"/>
    <col min="2" max="2" width="22.5" customWidth="1"/>
    <col min="53" max="53" width="14.33203125" customWidth="1"/>
    <col min="54" max="54" width="17.1640625" customWidth="1"/>
  </cols>
  <sheetData>
    <row r="2" spans="1:2" x14ac:dyDescent="0.2">
      <c r="A2" t="s">
        <v>0</v>
      </c>
      <c r="B2" t="s">
        <v>1</v>
      </c>
    </row>
    <row r="3" spans="1:2" x14ac:dyDescent="0.2">
      <c r="A3" t="s">
        <v>2</v>
      </c>
      <c r="B3" t="s">
        <v>3</v>
      </c>
    </row>
    <row r="4" spans="1:2" x14ac:dyDescent="0.2">
      <c r="A4" t="s">
        <v>4</v>
      </c>
      <c r="B4" t="s">
        <v>365</v>
      </c>
    </row>
    <row r="5" spans="1:2" x14ac:dyDescent="0.2">
      <c r="A5" t="s">
        <v>5</v>
      </c>
      <c r="B5" t="s">
        <v>366</v>
      </c>
    </row>
    <row r="6" spans="1:2" x14ac:dyDescent="0.2">
      <c r="A6" t="s">
        <v>6</v>
      </c>
      <c r="B6" t="s">
        <v>367</v>
      </c>
    </row>
    <row r="7" spans="1:2" x14ac:dyDescent="0.2">
      <c r="A7" t="s">
        <v>7</v>
      </c>
      <c r="B7" t="s">
        <v>368</v>
      </c>
    </row>
    <row r="8" spans="1:2" x14ac:dyDescent="0.2">
      <c r="A8" t="s">
        <v>8</v>
      </c>
      <c r="B8" t="s">
        <v>9</v>
      </c>
    </row>
    <row r="9" spans="1:2" x14ac:dyDescent="0.2">
      <c r="A9" t="s">
        <v>10</v>
      </c>
      <c r="B9" t="s">
        <v>225</v>
      </c>
    </row>
    <row r="10" spans="1:2" x14ac:dyDescent="0.2">
      <c r="A10" t="s">
        <v>11</v>
      </c>
      <c r="B10" t="s">
        <v>12</v>
      </c>
    </row>
    <row r="11" spans="1:2" x14ac:dyDescent="0.2">
      <c r="A11" t="s">
        <v>13</v>
      </c>
      <c r="B11" t="s">
        <v>14</v>
      </c>
    </row>
    <row r="12" spans="1:2" x14ac:dyDescent="0.2">
      <c r="A12" t="s">
        <v>15</v>
      </c>
      <c r="B12" t="s">
        <v>16</v>
      </c>
    </row>
    <row r="13" spans="1:2" x14ac:dyDescent="0.2">
      <c r="A13" t="s">
        <v>17</v>
      </c>
      <c r="B13" t="s">
        <v>369</v>
      </c>
    </row>
    <row r="14" spans="1:2" x14ac:dyDescent="0.2">
      <c r="A14" t="s">
        <v>18</v>
      </c>
      <c r="B14" t="s">
        <v>370</v>
      </c>
    </row>
    <row r="15" spans="1:2" x14ac:dyDescent="0.2">
      <c r="A15" t="s">
        <v>19</v>
      </c>
      <c r="B15" t="s">
        <v>371</v>
      </c>
    </row>
    <row r="16" spans="1:2" x14ac:dyDescent="0.2">
      <c r="A16" t="s">
        <v>20</v>
      </c>
      <c r="B16" t="s">
        <v>372</v>
      </c>
    </row>
    <row r="17" spans="1:2" x14ac:dyDescent="0.2">
      <c r="A17" t="s">
        <v>21</v>
      </c>
      <c r="B17" t="s">
        <v>373</v>
      </c>
    </row>
    <row r="18" spans="1:2" x14ac:dyDescent="0.2">
      <c r="A18" t="s">
        <v>22</v>
      </c>
      <c r="B18" t="s">
        <v>374</v>
      </c>
    </row>
    <row r="19" spans="1:2" x14ac:dyDescent="0.2">
      <c r="A19" t="s">
        <v>23</v>
      </c>
      <c r="B19" t="s">
        <v>375</v>
      </c>
    </row>
    <row r="20" spans="1:2" x14ac:dyDescent="0.2">
      <c r="A20" t="s">
        <v>24</v>
      </c>
      <c r="B20" t="s">
        <v>376</v>
      </c>
    </row>
    <row r="21" spans="1:2" x14ac:dyDescent="0.2">
      <c r="A21" t="s">
        <v>25</v>
      </c>
      <c r="B21" t="s">
        <v>377</v>
      </c>
    </row>
    <row r="22" spans="1:2" x14ac:dyDescent="0.2">
      <c r="A22" t="s">
        <v>26</v>
      </c>
      <c r="B22" t="s">
        <v>378</v>
      </c>
    </row>
    <row r="23" spans="1:2" x14ac:dyDescent="0.2">
      <c r="A23" t="s">
        <v>27</v>
      </c>
      <c r="B23" t="s">
        <v>28</v>
      </c>
    </row>
    <row r="24" spans="1:2" x14ac:dyDescent="0.2">
      <c r="A24" t="s">
        <v>29</v>
      </c>
      <c r="B24" t="s">
        <v>30</v>
      </c>
    </row>
    <row r="25" spans="1:2" x14ac:dyDescent="0.2">
      <c r="A25" t="s">
        <v>31</v>
      </c>
      <c r="B25" t="s">
        <v>32</v>
      </c>
    </row>
    <row r="26" spans="1:2" x14ac:dyDescent="0.2">
      <c r="A26" t="s">
        <v>33</v>
      </c>
      <c r="B26" t="s">
        <v>379</v>
      </c>
    </row>
    <row r="27" spans="1:2" x14ac:dyDescent="0.2">
      <c r="A27" t="s">
        <v>34</v>
      </c>
      <c r="B27" t="s">
        <v>35</v>
      </c>
    </row>
    <row r="28" spans="1:2" x14ac:dyDescent="0.2">
      <c r="A28" t="s">
        <v>36</v>
      </c>
      <c r="B28" t="s">
        <v>380</v>
      </c>
    </row>
    <row r="29" spans="1:2" x14ac:dyDescent="0.2">
      <c r="A29" t="s">
        <v>37</v>
      </c>
      <c r="B29" t="s">
        <v>38</v>
      </c>
    </row>
    <row r="30" spans="1:2" x14ac:dyDescent="0.2">
      <c r="A30" t="s">
        <v>39</v>
      </c>
      <c r="B30" t="s">
        <v>40</v>
      </c>
    </row>
    <row r="31" spans="1:2" x14ac:dyDescent="0.2">
      <c r="A31" t="s">
        <v>41</v>
      </c>
      <c r="B31" t="s">
        <v>42</v>
      </c>
    </row>
    <row r="32" spans="1:2" x14ac:dyDescent="0.2">
      <c r="A32" t="s">
        <v>43</v>
      </c>
      <c r="B32" t="s">
        <v>381</v>
      </c>
    </row>
    <row r="33" spans="1:2" x14ac:dyDescent="0.2">
      <c r="A33" t="s">
        <v>44</v>
      </c>
      <c r="B33" t="s">
        <v>45</v>
      </c>
    </row>
    <row r="34" spans="1:2" x14ac:dyDescent="0.2">
      <c r="A34" t="s">
        <v>46</v>
      </c>
      <c r="B34" t="s">
        <v>382</v>
      </c>
    </row>
    <row r="35" spans="1:2" x14ac:dyDescent="0.2">
      <c r="A35" t="s">
        <v>47</v>
      </c>
      <c r="B35" t="s">
        <v>48</v>
      </c>
    </row>
    <row r="36" spans="1:2" x14ac:dyDescent="0.2">
      <c r="A36" t="s">
        <v>49</v>
      </c>
      <c r="B36" t="s">
        <v>239</v>
      </c>
    </row>
    <row r="37" spans="1:2" x14ac:dyDescent="0.2">
      <c r="A37" t="s">
        <v>50</v>
      </c>
      <c r="B37" t="s">
        <v>383</v>
      </c>
    </row>
    <row r="38" spans="1:2" x14ac:dyDescent="0.2">
      <c r="A38" t="s">
        <v>51</v>
      </c>
      <c r="B38" t="s">
        <v>384</v>
      </c>
    </row>
    <row r="39" spans="1:2" x14ac:dyDescent="0.2">
      <c r="A39" t="s">
        <v>53</v>
      </c>
      <c r="B39" t="s">
        <v>52</v>
      </c>
    </row>
    <row r="40" spans="1:2" x14ac:dyDescent="0.2">
      <c r="A40" t="s">
        <v>55</v>
      </c>
      <c r="B40" t="s">
        <v>54</v>
      </c>
    </row>
    <row r="41" spans="1:2" x14ac:dyDescent="0.2">
      <c r="A41" t="s">
        <v>57</v>
      </c>
      <c r="B41" t="s">
        <v>56</v>
      </c>
    </row>
    <row r="42" spans="1:2" x14ac:dyDescent="0.2">
      <c r="A42" t="s">
        <v>59</v>
      </c>
      <c r="B42" t="s">
        <v>58</v>
      </c>
    </row>
    <row r="43" spans="1:2" x14ac:dyDescent="0.2">
      <c r="A43" t="s">
        <v>60</v>
      </c>
      <c r="B43" t="s">
        <v>240</v>
      </c>
    </row>
    <row r="44" spans="1:2" x14ac:dyDescent="0.2">
      <c r="A44" t="s">
        <v>61</v>
      </c>
      <c r="B44" t="s">
        <v>226</v>
      </c>
    </row>
    <row r="45" spans="1:2" x14ac:dyDescent="0.2">
      <c r="A45" t="s">
        <v>63</v>
      </c>
      <c r="B45" t="s">
        <v>62</v>
      </c>
    </row>
    <row r="46" spans="1:2" x14ac:dyDescent="0.2">
      <c r="A46" t="s">
        <v>65</v>
      </c>
      <c r="B46" t="s">
        <v>64</v>
      </c>
    </row>
    <row r="47" spans="1:2" x14ac:dyDescent="0.2">
      <c r="A47" t="s">
        <v>67</v>
      </c>
      <c r="B47" t="s">
        <v>66</v>
      </c>
    </row>
    <row r="48" spans="1:2" x14ac:dyDescent="0.2">
      <c r="A48" t="s">
        <v>68</v>
      </c>
      <c r="B48" t="s">
        <v>385</v>
      </c>
    </row>
    <row r="49" spans="1:2" x14ac:dyDescent="0.2">
      <c r="A49" t="s">
        <v>69</v>
      </c>
      <c r="B49" t="s">
        <v>386</v>
      </c>
    </row>
    <row r="50" spans="1:2" x14ac:dyDescent="0.2">
      <c r="A50" t="s">
        <v>70</v>
      </c>
      <c r="B50" t="s">
        <v>387</v>
      </c>
    </row>
    <row r="51" spans="1:2" x14ac:dyDescent="0.2">
      <c r="A51" t="s">
        <v>71</v>
      </c>
      <c r="B51" t="s">
        <v>388</v>
      </c>
    </row>
    <row r="52" spans="1:2" x14ac:dyDescent="0.2">
      <c r="A52" t="s">
        <v>73</v>
      </c>
      <c r="B52" t="s">
        <v>72</v>
      </c>
    </row>
    <row r="53" spans="1:2" x14ac:dyDescent="0.2">
      <c r="A53" t="s">
        <v>227</v>
      </c>
      <c r="B53" t="s">
        <v>74</v>
      </c>
    </row>
    <row r="54" spans="1:2" x14ac:dyDescent="0.2">
      <c r="A54" t="s">
        <v>648</v>
      </c>
      <c r="B54" t="s">
        <v>649</v>
      </c>
    </row>
    <row r="55" spans="1:2" x14ac:dyDescent="0.2">
      <c r="A55" t="s">
        <v>650</v>
      </c>
      <c r="B55" t="s">
        <v>651</v>
      </c>
    </row>
    <row r="56" spans="1:2" x14ac:dyDescent="0.2">
      <c r="A56" t="s">
        <v>75</v>
      </c>
      <c r="B56" t="s">
        <v>76</v>
      </c>
    </row>
    <row r="57" spans="1:2" x14ac:dyDescent="0.2">
      <c r="A57" t="s">
        <v>77</v>
      </c>
      <c r="B57" t="s">
        <v>78</v>
      </c>
    </row>
    <row r="58" spans="1:2" x14ac:dyDescent="0.2">
      <c r="A58" t="s">
        <v>79</v>
      </c>
      <c r="B58" t="s">
        <v>228</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s="9" customFormat="1" ht="272" x14ac:dyDescent="0.2">
      <c r="A65" s="9" t="s">
        <v>87</v>
      </c>
      <c r="C65" s="9" t="s">
        <v>91</v>
      </c>
      <c r="D65" s="9" t="s">
        <v>92</v>
      </c>
      <c r="E65" s="9" t="s">
        <v>93</v>
      </c>
      <c r="F65" s="9" t="s">
        <v>94</v>
      </c>
      <c r="G65" s="9" t="s">
        <v>95</v>
      </c>
      <c r="H65" s="9" t="s">
        <v>229</v>
      </c>
      <c r="I65" s="9" t="s">
        <v>96</v>
      </c>
      <c r="J65" s="9" t="s">
        <v>97</v>
      </c>
      <c r="K65" s="9" t="s">
        <v>98</v>
      </c>
      <c r="L65" s="9" t="s">
        <v>99</v>
      </c>
      <c r="M65" s="9" t="s">
        <v>100</v>
      </c>
      <c r="N65" s="9" t="s">
        <v>101</v>
      </c>
      <c r="O65" s="9" t="s">
        <v>102</v>
      </c>
      <c r="P65" s="9" t="s">
        <v>103</v>
      </c>
      <c r="Q65" s="9" t="s">
        <v>104</v>
      </c>
      <c r="R65" s="9" t="s">
        <v>105</v>
      </c>
      <c r="S65" s="9" t="s">
        <v>106</v>
      </c>
      <c r="T65" s="9" t="s">
        <v>107</v>
      </c>
      <c r="U65" s="9" t="s">
        <v>108</v>
      </c>
      <c r="V65" s="9" t="s">
        <v>109</v>
      </c>
      <c r="W65" s="9" t="s">
        <v>110</v>
      </c>
      <c r="X65" s="9" t="s">
        <v>111</v>
      </c>
      <c r="Y65" s="9" t="s">
        <v>112</v>
      </c>
      <c r="Z65" s="9" t="s">
        <v>113</v>
      </c>
      <c r="AA65" s="9" t="s">
        <v>114</v>
      </c>
      <c r="AB65" s="9" t="s">
        <v>115</v>
      </c>
      <c r="AC65" s="9" t="s">
        <v>116</v>
      </c>
      <c r="AD65" s="9" t="s">
        <v>117</v>
      </c>
      <c r="AE65" s="9" t="s">
        <v>118</v>
      </c>
      <c r="AF65" s="9" t="s">
        <v>119</v>
      </c>
      <c r="AG65" s="9" t="s">
        <v>120</v>
      </c>
      <c r="AH65" s="9" t="s">
        <v>121</v>
      </c>
      <c r="AI65" s="9" t="s">
        <v>241</v>
      </c>
      <c r="AJ65" s="9" t="s">
        <v>122</v>
      </c>
      <c r="AK65" s="9" t="s">
        <v>123</v>
      </c>
      <c r="AL65" s="9" t="s">
        <v>124</v>
      </c>
      <c r="AM65" s="9" t="s">
        <v>125</v>
      </c>
      <c r="AN65" s="9" t="s">
        <v>126</v>
      </c>
      <c r="AO65" s="9" t="s">
        <v>127</v>
      </c>
      <c r="AP65" s="9" t="s">
        <v>242</v>
      </c>
      <c r="AQ65" s="9" t="s">
        <v>232</v>
      </c>
      <c r="AR65" s="9" t="s">
        <v>128</v>
      </c>
      <c r="AS65" s="9" t="s">
        <v>129</v>
      </c>
      <c r="AT65" s="9" t="s">
        <v>130</v>
      </c>
      <c r="AU65" s="9" t="s">
        <v>131</v>
      </c>
      <c r="AV65" s="9" t="s">
        <v>132</v>
      </c>
      <c r="AW65" s="9" t="s">
        <v>133</v>
      </c>
      <c r="AX65" s="9" t="s">
        <v>134</v>
      </c>
      <c r="AY65" s="9" t="s">
        <v>135</v>
      </c>
      <c r="AZ65" s="9" t="s">
        <v>136</v>
      </c>
    </row>
    <row r="66" spans="1:54" s="5" customFormat="1" ht="326" customHeight="1" x14ac:dyDescent="0.2">
      <c r="B66" s="5" t="s">
        <v>90</v>
      </c>
      <c r="C66" s="5" t="str" cm="1">
        <f t="array" ref="C66:BB66">TRANSPOSE(B4:B55)</f>
        <v>1 kg light fuel oil, production US, at regional storage/kg/RER U (of project 000 primary energy factors various projects)</v>
      </c>
      <c r="D66" s="5" t="str">
        <v>1 kg light fuel oil, production SA, at regional storage/kg/RER U (of project 000 primary energy factors various projects)</v>
      </c>
      <c r="E66" s="5" t="str">
        <v>1 kg light fuel oil, production RU, at regional storage/kg/RER U (of project 000 primary energy factors various projects)</v>
      </c>
      <c r="F66" s="5" t="str">
        <v>1 kg light fuel oil, production CA, at regional storage/kg/RER U (of project 000 primary energy factors various projects)</v>
      </c>
      <c r="G66" s="5" t="str">
        <v>1 kg heavy fuel oil, at regional storage/kg/RER U (of project ESU database 2022 UVEK)</v>
      </c>
      <c r="H66" s="5" t="str">
        <v>1 m3 natural gas, production NO, at long-distance pipeline/m3/DE U (of project ESU database 2022 UVEK)</v>
      </c>
      <c r="I66" s="5" t="str">
        <v>1 m3 natural gas, production RU, at long-distance pipeline/m3/DE U (of project ESU database 2022 UVEK)</v>
      </c>
      <c r="J66" s="5" t="str">
        <v>1 m3 natural gas, liquefied, production US, at harbour/RER U (of project ESU database 2022 UVEK)</v>
      </c>
      <c r="K66" s="5" t="str">
        <v>1 m3 natural gas, liquefied, production QA, at harbour/RER U (of project ESU database 2022 UVEK)</v>
      </c>
      <c r="L66" s="5" t="str">
        <v>1 kg Hard coal, production RU, at regional storage/DE U (of project 000 primary energy factors various projects)</v>
      </c>
      <c r="M66" s="5" t="str">
        <v>1 kg Hard coal, production US, at regional storage/DE U (of project 000 primary energy factors various projects)</v>
      </c>
      <c r="N66" s="5" t="str">
        <v>1 kg Hard coal, production AU, at regional storage/DE U (of project 000 primary energy factors various projects)</v>
      </c>
      <c r="O66" s="5" t="str">
        <v>1 kg Hard coal, production CO, at regional storage/DE U (of project 000 primary energy factors various projects)</v>
      </c>
      <c r="P66" s="5" t="str">
        <v>1 kg Hard coal, production IN, at regional storage/DE U (of project 000 primary energy factors various projects)</v>
      </c>
      <c r="Q66" s="5" t="str">
        <v>1 kg lignite, production DE, at regional storage/DE U (of project 000 primary energy factors various projects)</v>
      </c>
      <c r="R66" s="5" t="str">
        <v>1 kg lignite, production PO, at regional storage/DE U (of project 000 primary energy factors various projects)</v>
      </c>
      <c r="S66" s="5" t="str">
        <v>1 kg lignite, production US, at regional storage/DE U (of project 000 primary energy factors various projects)</v>
      </c>
      <c r="T66" s="5" t="str">
        <v>1 kg lignite, production CN, at regional storage/DE U (of project 000 primary energy factors various projects)</v>
      </c>
      <c r="U66" s="5" t="str">
        <v>1 kg lignite, production RU, at regional storage/DE U (of project 000 primary energy factors various projects)</v>
      </c>
      <c r="V66" s="5" t="str">
        <v>1 m3 biogas, production mix, at storage/m3/CH U (of project ESU database 2022 UVEK)</v>
      </c>
      <c r="W66" s="5" t="str">
        <v>1 m3 biogas, from maize silage, co-digestion, at storage/m3/CH U (of project ESU database 2022 UVEK)</v>
      </c>
      <c r="X66" s="5" t="str">
        <v>1 m3 methane, 96 vol-%, from biogas, at purification/m3/CH U (of project ESU database 2022 UVEK)</v>
      </c>
      <c r="Y66" s="5" t="str">
        <v>1 m3 methane, 96 vol-%, from biogas, from maize silage, at purification/m3/RER U (of project 000 primary energy factors various projects)</v>
      </c>
      <c r="Z66" s="5" t="str">
        <v>1 kg Rape oil, at regional storage/CH U (of project ESU database 2022 UVEK)</v>
      </c>
      <c r="AA66" s="5" t="str">
        <v>1 kg palm oil, at regional storage/CH U (of project 000 primary energy factors various projects)</v>
      </c>
      <c r="AB66" s="5" t="str">
        <v>1 kg wood chips, production mix, wet, measured as dry mass, at forest road &amp; at sawmill/kg/RER (of project ESU database 2022 UVEK)</v>
      </c>
      <c r="AC66" s="5" t="str">
        <v>1 m3 Waste wood chips, mixed, from industry, u=40%, at plant/CH U (of project ESU database 2022 UVEK)</v>
      </c>
      <c r="AD66" s="5" t="str">
        <v>1 kg Wood chips, wet, measured as dry mass {CA-QC}| market for wood chips, wet, measured as dry mass | Cut-off, U (of project Ecoinvent 3 - allocation, cut-off by classification - unit)</v>
      </c>
      <c r="AE66" s="5" t="str">
        <v>1 kg wood pellet, from wastewood, measured as dry mass, at plant/kg/RER (of project 000 primary energy factors various projects)</v>
      </c>
      <c r="AF66" s="5" t="str">
        <v>1 kg wood pellet, measured as dry mass, at plant/kg/RER (of project ESU database 2022 UVEK)</v>
      </c>
      <c r="AG66" s="5" t="str">
        <v>1 kg Hydrogen, liquid, from water electrolysis, renewable electricity, at plant/DE U (of project 000 primary energy factors various projects)</v>
      </c>
      <c r="AH66" s="5" t="str">
        <v>1 kg Hydrogen, cracking, APME, at plant/RER U (of project ESU database 2022 UVEK)</v>
      </c>
      <c r="AI66" s="5" t="str">
        <v>1 kg Hydrogen, gaseous {Europe without Switzerland}| hydrogen production, gaseous, petroleum refinery operation | Cut-off, U (of project Ecoinvent 3 - allocation, cut-off by classification - unit)</v>
      </c>
      <c r="AJ66" s="5" t="str">
        <v>1 kWh electricity, photovoltaic mix flat-roof, at plant/CH U (of project 000 primary energy factors various projects)</v>
      </c>
      <c r="AK66" s="5" t="str">
        <v>1 kWh electricity, photovoltaic mix slanted-roof, at plant/CH U (of project 000 primary energy factors various projects)</v>
      </c>
      <c r="AL66" s="5" t="str">
        <v>1 kWh Electricity, at wind power plant/RER U (of project ESU database 2022 UVEK)</v>
      </c>
      <c r="AM66" s="5" t="str">
        <v>1 kWh electricity, hydropower, at run-of-river power plant/kWh/RER U (of project ESU database 2022 UVEK)</v>
      </c>
      <c r="AN66" s="5" t="str">
        <v>1 kWh electricity, hydropower, at reservoir power plant, non alpine regions/kWh/RER U (of project ESU database 2022 UVEK)</v>
      </c>
      <c r="AO66" s="5" t="str">
        <v>1 kWh Electricity from waste, at municipal waste incineration plant/CH U (of project ESU database 2022 UVEK)</v>
      </c>
      <c r="AP66" s="5" t="str">
        <v>1 kWh electricity, low voltage, at grid/kWh/DE U (of project ESU database 2022 UVEK)</v>
      </c>
      <c r="AQ66" s="5" t="str">
        <v>1 kWh electricity, low voltage, production ENTSO, at grid/kWh/ENTSO U (of project ESU database 2022 UVEK)</v>
      </c>
      <c r="AR66" s="5" t="str">
        <v>1 MJ heat, at 30 m2 Cu collector, multiple dwelling, flat roof, for hot water/CH U (of project ESU database 2022 UVEK)</v>
      </c>
      <c r="AS66" s="5" t="str">
        <v>1 MJ heat, at 30 m2 Cu collector, multiple dwelling, slanted roof, for hot water/CH U (of project ESU database 2022 UVEK)</v>
      </c>
      <c r="AT66" s="5" t="str">
        <v>1 MJ heat, at 10.5 m2 evacuated tube collector, heat pipe, one-family house, for combined system/CH U (of project ESU database 2022 UVEK)</v>
      </c>
      <c r="AU66" s="5" t="str">
        <v>1 MJ Heat, borehole heat exchanger, at brine-water heat pump 10kW/DE U (of project 000 primary energy factors various projects)</v>
      </c>
      <c r="AV66" s="5" t="str">
        <v>1 MJ Heat, at air-water heat pump 10kW/DE U (of project 000 primary energy factors various projects)</v>
      </c>
      <c r="AW66" s="5" t="str">
        <v>1 MJ heat, at groundwater heat pump, 10kW/MJ/DE U (of project 000 primary energy factors various projects)</v>
      </c>
      <c r="AX66" s="5" t="str">
        <v>1 MJ heat, at water heat pump, 13MW/MJ/DE U (of project 000 primary energy factors various projects)</v>
      </c>
      <c r="AY66" s="5" t="str">
        <v>1 kWh Electricity, high voltage {DE}| electricity production, deep geothermal | Cut-off, U (of project Ecoinvent 3 - allocation, cut-off by classification - unit)</v>
      </c>
      <c r="AZ66" s="5" t="str">
        <v>1 MJ Heat from waste, at municipal waste incineration plant/CH U (of project ESU database 2022 UVEK)</v>
      </c>
      <c r="BA66" s="5" t="str">
        <v>1 kg Fuel elements BWR, UO2 4.0% &amp; MOX, at nuclear fuel fabrication plant/DE U (of project ESU database 2023 (UVEK18))</v>
      </c>
      <c r="BB66" s="5" t="str">
        <v>1 kg Fuel elements PWR, UO2 4.0% &amp; MOX, at nuclear fuel fabrication plant/DE U (of project ESU database 2023 (UVEK18))</v>
      </c>
    </row>
    <row r="68" spans="1:54" x14ac:dyDescent="0.2">
      <c r="A68" s="5"/>
    </row>
    <row r="69" spans="1:54" s="14" customFormat="1" ht="32" x14ac:dyDescent="0.2">
      <c r="A69" s="50" t="s">
        <v>254</v>
      </c>
      <c r="B69" s="14" t="s">
        <v>138</v>
      </c>
      <c r="C69" s="14">
        <f>C75-C83+CED_edit!C74</f>
        <v>58.113525492099996</v>
      </c>
      <c r="D69" s="14">
        <f>D75-D83+CED_edit!D74</f>
        <v>55.195010809899998</v>
      </c>
      <c r="E69" s="14">
        <f>E75-E83+CED_edit!E74</f>
        <v>57.103276775099992</v>
      </c>
      <c r="F69" s="14">
        <f>F75-F83+CED_edit!F74</f>
        <v>57.162692408099993</v>
      </c>
      <c r="G69" s="14">
        <f>G75-G83+CED_edit!G74</f>
        <v>53.889571837999988</v>
      </c>
      <c r="H69" s="14">
        <f>H75-H83+CED_edit!H74</f>
        <v>37.751057987929997</v>
      </c>
      <c r="I69" s="14">
        <f>I75-I83+CED_edit!I74</f>
        <v>43.576036812980007</v>
      </c>
      <c r="J69" s="14">
        <f>J75-J83+CED_edit!J74</f>
        <v>50.937250939810014</v>
      </c>
      <c r="K69" s="14">
        <f>K75-K83+CED_edit!K74</f>
        <v>49.529229814679972</v>
      </c>
      <c r="L69" s="14">
        <f>L75-L83+CED_edit!L74</f>
        <v>29.045001686399999</v>
      </c>
      <c r="M69" s="14">
        <f>M75-M83+CED_edit!M74</f>
        <v>28.80882058808</v>
      </c>
      <c r="N69" s="14">
        <f>N75-N83+CED_edit!N74</f>
        <v>30.376768447269988</v>
      </c>
      <c r="O69" s="14">
        <f>O75-O83+CED_edit!O74</f>
        <v>26.602610502510004</v>
      </c>
      <c r="P69" s="14">
        <f>P75-P83+CED_edit!P74</f>
        <v>21.375859530820001</v>
      </c>
      <c r="Q69" s="14">
        <f>Q75-Q83+CED_edit!Q74</f>
        <v>10.720317818434003</v>
      </c>
      <c r="R69" s="14">
        <f>R75-R83+CED_edit!R74</f>
        <v>11.014793954630001</v>
      </c>
      <c r="S69" s="14">
        <f>S75-S83+CED_edit!S74</f>
        <v>11.941491751770005</v>
      </c>
      <c r="T69" s="14">
        <f>T75-T83+CED_edit!T74</f>
        <v>12.822069757680003</v>
      </c>
      <c r="U69" s="14">
        <f>U75-U83+CED_edit!U74</f>
        <v>12.97926370211</v>
      </c>
      <c r="V69" s="14">
        <f>V75-V83+CED_edit!V74</f>
        <v>3.3844605409099948</v>
      </c>
      <c r="W69" s="14">
        <f>W75-W83+CED_edit!W74</f>
        <v>43.702981988000005</v>
      </c>
      <c r="X69" s="14">
        <f>X75-X83+CED_edit!X74</f>
        <v>11.851363255459962</v>
      </c>
      <c r="Y69" s="14">
        <f>Y75-Y83+CED_edit!Y74</f>
        <v>73.058910833999988</v>
      </c>
      <c r="Z69" s="14">
        <f>Z75-Z83+CED_edit!Z74</f>
        <v>66.790150982599982</v>
      </c>
      <c r="AA69" s="14">
        <f>AA75-AA83+CED_edit!AA74</f>
        <v>81.031812068999983</v>
      </c>
      <c r="AB69" s="14">
        <f>AB75-AB83+CED_edit!AB74</f>
        <v>21.644896889029997</v>
      </c>
      <c r="AC69" s="14">
        <f>AC75-AC83+CED_edit!AC74</f>
        <v>85.465372085000283</v>
      </c>
      <c r="AD69" s="14">
        <f>AD75-AD83+CED_edit!AD74</f>
        <v>6.8736132991249992</v>
      </c>
      <c r="AE69" s="14">
        <f>AE75-AE83+CED_edit!AE74</f>
        <v>2.3350012124599986</v>
      </c>
      <c r="AF69" s="14">
        <f>AF75-AF83+CED_edit!AF74</f>
        <v>23.987327942179991</v>
      </c>
      <c r="AG69" s="14">
        <f>AG75-AG83+CED_edit!AG74</f>
        <v>248.67434206670131</v>
      </c>
      <c r="AH69" s="14">
        <f>AH75-AH83+CED_edit!AH74</f>
        <v>71.037892091278593</v>
      </c>
      <c r="AI69" s="14">
        <f>AI75-AI83+CED_edit!AI74</f>
        <v>151.04923933401</v>
      </c>
      <c r="AJ69" s="14">
        <f>AJ75-AJ83+CED_edit!AJ74</f>
        <v>4.2756005259759986</v>
      </c>
      <c r="AK69" s="14">
        <f>AK75-AK83+CED_edit!AK74</f>
        <v>4.4070490622220015</v>
      </c>
      <c r="AL69" s="14">
        <f>AL75-AL83+CED_edit!AL74</f>
        <v>3.8022145960009994</v>
      </c>
      <c r="AM69" s="14">
        <f>AM75-AM83</f>
        <v>3.8366769937952085</v>
      </c>
      <c r="AN69" s="14">
        <f>AN75-AN83</f>
        <v>3.8418432762947532</v>
      </c>
      <c r="AO69" s="14">
        <f>AO75-AO83+CED_edit!AO74</f>
        <v>0</v>
      </c>
      <c r="AP69" s="14">
        <f>AP75-AP83+CED_edit!AP74</f>
        <v>9.4847425192390116</v>
      </c>
      <c r="AQ69" s="14">
        <f>AQ75-AQ83+CED_edit!AQ74</f>
        <v>12.245704770169962</v>
      </c>
      <c r="AR69" s="14">
        <f>AR75-AR83+CED_edit!AR74</f>
        <v>0.11620031290520028</v>
      </c>
      <c r="AS69" s="14">
        <f>AS75-AS83+CED_edit!AS74</f>
        <v>0.11190296200580013</v>
      </c>
      <c r="AT69" s="14">
        <f>AT75-AT83+CED_edit!AT74</f>
        <v>0.21287675911600037</v>
      </c>
      <c r="AU69" s="14">
        <f>AU75-AU83+CED_edit!AU74</f>
        <v>0.69813233346500103</v>
      </c>
      <c r="AV69" s="14">
        <f>AV75-AV83+CED_edit!AV74</f>
        <v>0.95276278172300022</v>
      </c>
      <c r="AW69" s="14">
        <f>AW75-AW83+CED_edit!AW74</f>
        <v>0.79771265303199967</v>
      </c>
      <c r="AX69" s="14">
        <f>AX75-AX83+CED_edit!AX74</f>
        <v>0.88024777063510029</v>
      </c>
      <c r="AY69" s="14">
        <f>AY75-AY83+CED_edit!AY74</f>
        <v>1.076974847342</v>
      </c>
      <c r="AZ69" s="14">
        <f>AZ75-AZ83+CED_edit!AZ74</f>
        <v>0</v>
      </c>
      <c r="BA69" s="14">
        <f>BA75-BA83+CED_edit!BA74</f>
        <v>4722202.739649999</v>
      </c>
      <c r="BB69" s="14">
        <f>BB75-BB83+CED_edit!BB74</f>
        <v>4459905.6191199999</v>
      </c>
    </row>
    <row r="71" spans="1:54" x14ac:dyDescent="0.2">
      <c r="A71" t="s">
        <v>255</v>
      </c>
      <c r="B71" t="s">
        <v>138</v>
      </c>
      <c r="C71">
        <f>C76-CED!C67</f>
        <v>0.4878050000000016</v>
      </c>
      <c r="D71">
        <f>D76-CED!D67</f>
        <v>0.63533400000000029</v>
      </c>
      <c r="E71">
        <f>E76-CED!E67</f>
        <v>0.50639800000000434</v>
      </c>
      <c r="F71">
        <f>F76-CED!F67</f>
        <v>0.51745100000000122</v>
      </c>
      <c r="G71">
        <f>G76-CED!G67</f>
        <v>0.49033800000000127</v>
      </c>
      <c r="H71">
        <f>H76-CED!H67</f>
        <v>-2.3774549999999977</v>
      </c>
      <c r="I71">
        <f>I76-CED!I67</f>
        <v>-2.6734050000000025</v>
      </c>
      <c r="J71">
        <f>J76-CED!J67</f>
        <v>-2.7835309999999964</v>
      </c>
      <c r="K71">
        <f>K76-CED!K67</f>
        <v>-2.6490519999999975</v>
      </c>
      <c r="L71">
        <f>L76-CED!L67</f>
        <v>0.70325499999999863</v>
      </c>
      <c r="M71">
        <f>M76-CED!M67</f>
        <v>0.77918999999999983</v>
      </c>
      <c r="N71">
        <f>N76-CED!N67</f>
        <v>0.83137399999999673</v>
      </c>
      <c r="O71">
        <f>O76-CED!O67</f>
        <v>0.75634600000000063</v>
      </c>
      <c r="P71">
        <f>P76-CED!P67</f>
        <v>0.54349900000000062</v>
      </c>
      <c r="Q71">
        <f>Q76-CED!Q67</f>
        <v>0.40229099999999995</v>
      </c>
      <c r="R71">
        <f>R76-CED!R67</f>
        <v>0.40786000000000122</v>
      </c>
      <c r="S71">
        <f>S76-CED!S67</f>
        <v>0.4081620000000008</v>
      </c>
      <c r="T71">
        <f>T76-CED!T67</f>
        <v>0.41879899999999992</v>
      </c>
      <c r="U71">
        <f>U76-CED!U67</f>
        <v>0.39420199999999994</v>
      </c>
      <c r="V71">
        <f>V76-CED!V67</f>
        <v>-9.3594799999999978E-2</v>
      </c>
      <c r="W71">
        <f>W76-CED!W67</f>
        <v>8.7287000000006998E-3</v>
      </c>
      <c r="X71">
        <f>X76-CED!X67</f>
        <v>-0.22980599999999995</v>
      </c>
      <c r="Y71">
        <f>Y76-CED!Y67</f>
        <v>-7.4469000000000563E-2</v>
      </c>
      <c r="Z71">
        <f>Z76-CED!Z67</f>
        <v>-5.5576999999999543E-2</v>
      </c>
      <c r="AA71">
        <f>AA76-CED!AA67</f>
        <v>-4.6479999999995414E-3</v>
      </c>
      <c r="AB71">
        <f>AB76-CED!AB67</f>
        <v>3.2630699999999235E-3</v>
      </c>
      <c r="AC71">
        <f>AC76-CED!AC67</f>
        <v>0.18018000000000001</v>
      </c>
      <c r="AD71">
        <f>AD76-CED!AD67</f>
        <v>1.030025999999995E-2</v>
      </c>
      <c r="AE71">
        <f>AE76-CED!AE67</f>
        <v>-1.9951999999998637E-3</v>
      </c>
      <c r="AF71">
        <f>AF76-CED!AF67</f>
        <v>-2.047000000000132E-3</v>
      </c>
      <c r="AG71">
        <f>AG76-CED!AG67</f>
        <v>9.0935000000001764E-2</v>
      </c>
      <c r="AH71">
        <f>AH76-CED!AH67</f>
        <v>-1.5587750000000113</v>
      </c>
      <c r="AI71">
        <f>AI76-CED!AI67</f>
        <v>1.9052200000000141</v>
      </c>
      <c r="AJ71">
        <f>AJ76-CED!AJ67</f>
        <v>6.3574999999999049E-4</v>
      </c>
      <c r="AK71">
        <f>AK76-CED!AK67</f>
        <v>-4.9734000000001277E-4</v>
      </c>
      <c r="AL71">
        <f>AL76-CED!AL67</f>
        <v>-8.1549999999999678E-4</v>
      </c>
      <c r="AM71">
        <f>AM76-CED!AM67</f>
        <v>2.3616299999999757E-4</v>
      </c>
      <c r="AN71">
        <f>AN76-CED!AN67</f>
        <v>2.2402500000000269E-4</v>
      </c>
      <c r="AO71">
        <f>AO76-CED!AO67</f>
        <v>0</v>
      </c>
      <c r="AP71">
        <f>AP76-CED!AP67</f>
        <v>7.608719999999991E-2</v>
      </c>
      <c r="AQ71">
        <f>AQ76-CED!AQ67</f>
        <v>-2.7154200000000017E-2</v>
      </c>
      <c r="AR71">
        <f>AR76-CED!AR67</f>
        <v>1.5434000000001669E-5</v>
      </c>
      <c r="AS71">
        <f>AS76-CED!AS67</f>
        <v>-9.7819999999998464E-6</v>
      </c>
      <c r="AT71">
        <f>AT76-CED!AT67</f>
        <v>-1.7936999999999814E-4</v>
      </c>
      <c r="AU71">
        <f>AU76-CED!AU67</f>
        <v>5.4143400000000175E-3</v>
      </c>
      <c r="AV71">
        <f>AV76-CED!AV67</f>
        <v>7.4402999999999553E-3</v>
      </c>
      <c r="AW71">
        <f>AW76-CED!AW67</f>
        <v>6.2131699999999901E-3</v>
      </c>
      <c r="AX71">
        <f>AX76-CED!AX67</f>
        <v>7.0298500000000042E-3</v>
      </c>
      <c r="AY71">
        <f>AY76-CED!AY67</f>
        <v>5.141330000000055E-3</v>
      </c>
      <c r="AZ71">
        <f>AZ76-CED!AZ67</f>
        <v>0</v>
      </c>
      <c r="BA71">
        <f>BA76-CED!BA67</f>
        <v>24.982000000003609</v>
      </c>
      <c r="BB71">
        <f>BB76-CED!BB67</f>
        <v>23.227999999999156</v>
      </c>
    </row>
    <row r="72" spans="1:54" x14ac:dyDescent="0.2">
      <c r="A72" t="s">
        <v>256</v>
      </c>
      <c r="B72" t="s">
        <v>138</v>
      </c>
      <c r="C72">
        <f>C77-CED!C68</f>
        <v>-8.281430000000034E-3</v>
      </c>
      <c r="D72">
        <f>D77-CED!D68</f>
        <v>-7.2106800000000248E-3</v>
      </c>
      <c r="E72">
        <f>E77-CED!E68</f>
        <v>-9.5412300000000672E-3</v>
      </c>
      <c r="F72">
        <f>F77-CED!F68</f>
        <v>-7.3606600000000189E-3</v>
      </c>
      <c r="G72">
        <f>G77-CED!G68</f>
        <v>-7.9657600000000439E-3</v>
      </c>
      <c r="H72">
        <f>H77-CED!H68</f>
        <v>-5.0381500000000121E-4</v>
      </c>
      <c r="I72">
        <f>I77-CED!I68</f>
        <v>-2.4088499999999902E-3</v>
      </c>
      <c r="J72">
        <f>J77-CED!J68</f>
        <v>-1.4180699999999824E-2</v>
      </c>
      <c r="K72">
        <f>K77-CED!K68</f>
        <v>-1.5929800000000105E-2</v>
      </c>
      <c r="L72">
        <f>L77-CED!L68</f>
        <v>-3.0156700000000036E-2</v>
      </c>
      <c r="M72">
        <f>M77-CED!M68</f>
        <v>-8.5017699999999641E-3</v>
      </c>
      <c r="N72">
        <f>N77-CED!N68</f>
        <v>-5.1840499999999956E-3</v>
      </c>
      <c r="O72">
        <f>O77-CED!O68</f>
        <v>-4.200209999999982E-3</v>
      </c>
      <c r="P72">
        <f>P77-CED!P68</f>
        <v>-8.8120099999999812E-3</v>
      </c>
      <c r="Q72">
        <f>Q77-CED!Q68</f>
        <v>-9.4198000000000892E-4</v>
      </c>
      <c r="R72">
        <f>R77-CED!R68</f>
        <v>-3.4302999999999972E-3</v>
      </c>
      <c r="S72">
        <f>S77-CED!S68</f>
        <v>-2.2279400000000116E-3</v>
      </c>
      <c r="T72">
        <f>T77-CED!T68</f>
        <v>-2.8257500000000157E-3</v>
      </c>
      <c r="U72">
        <f>U77-CED!U68</f>
        <v>-2.3867610000000039E-2</v>
      </c>
      <c r="V72">
        <f>V77-CED!V68</f>
        <v>-0.12376682000000006</v>
      </c>
      <c r="W72">
        <f>W77-CED!W68</f>
        <v>-6.1902410000000074E-2</v>
      </c>
      <c r="X72">
        <f>X77-CED!X68</f>
        <v>-0.56942550000000036</v>
      </c>
      <c r="Y72">
        <f>Y77-CED!Y68</f>
        <v>-0.47550900000000018</v>
      </c>
      <c r="Z72">
        <f>Z77-CED!Z68</f>
        <v>-0.33409420000000001</v>
      </c>
      <c r="AA72">
        <f>AA77-CED!AA68</f>
        <v>-0.28325399999999989</v>
      </c>
      <c r="AB72">
        <f>AB77-CED!AB68</f>
        <v>-1.4142649999999979E-3</v>
      </c>
      <c r="AC72">
        <f>AC77-CED!AC68</f>
        <v>-0.19257499999999972</v>
      </c>
      <c r="AD72">
        <f>AD77-CED!AD68</f>
        <v>0</v>
      </c>
      <c r="AE72">
        <f>AE77-CED!AE68</f>
        <v>-5.7429000000000507E-3</v>
      </c>
      <c r="AF72">
        <f>AF77-CED!AF68</f>
        <v>-6.8882599999999794E-3</v>
      </c>
      <c r="AG72">
        <f>AG77-CED!AG68</f>
        <v>-3.981170000000045E-2</v>
      </c>
      <c r="AH72">
        <f>AH77-CED!AH68</f>
        <v>-2.6390000000020564E-4</v>
      </c>
      <c r="AI72">
        <f>AI77-CED!AI68</f>
        <v>0</v>
      </c>
      <c r="AJ72">
        <f>AJ77-CED!AJ68</f>
        <v>-7.4967800000000362E-4</v>
      </c>
      <c r="AK72">
        <f>AK77-CED!AK68</f>
        <v>-9.7118000000000204E-4</v>
      </c>
      <c r="AL72">
        <f>AL77-CED!AL68</f>
        <v>-2.6450700000000063E-4</v>
      </c>
      <c r="AM72">
        <f>AM77-CED!AM68</f>
        <v>-2.7882319999999929E-4</v>
      </c>
      <c r="AN72">
        <f>AN77-CED!AN68</f>
        <v>-4.8557099999999975E-4</v>
      </c>
      <c r="AO72">
        <f>AO77-CED!AO68</f>
        <v>0</v>
      </c>
      <c r="AP72">
        <f>AP77-CED!AP68</f>
        <v>-1.09459999999999E-2</v>
      </c>
      <c r="AQ72">
        <f>AQ77-CED!AQ68</f>
        <v>-3.020770000000006E-2</v>
      </c>
      <c r="AR72">
        <f>AR77-CED!AR68</f>
        <v>-3.8191979999999993E-3</v>
      </c>
      <c r="AS72">
        <f>AS77-CED!AS68</f>
        <v>-3.6862949999999992E-3</v>
      </c>
      <c r="AT72">
        <f>AT77-CED!AT68</f>
        <v>-8.725326999999998E-3</v>
      </c>
      <c r="AU72">
        <f>AU77-CED!AU68</f>
        <v>-9.0869000000001754E-4</v>
      </c>
      <c r="AV72">
        <f>AV77-CED!AV68</f>
        <v>-1.2533599999999812E-3</v>
      </c>
      <c r="AW72">
        <f>AW77-CED!AW68</f>
        <v>-1.0236100000000081E-3</v>
      </c>
      <c r="AX72">
        <f>AX77-CED!AX68</f>
        <v>-1.0336299999999798E-3</v>
      </c>
      <c r="AY72">
        <f>AY77-CED!AY68</f>
        <v>0</v>
      </c>
      <c r="AZ72">
        <f>AZ77-CED!AZ68</f>
        <v>0</v>
      </c>
      <c r="BA72">
        <f>BA77-CED!BA68</f>
        <v>-32.299999999813735</v>
      </c>
      <c r="BB72">
        <f>BB77-CED!BB68</f>
        <v>-30.599999999627471</v>
      </c>
    </row>
    <row r="73" spans="1:54" x14ac:dyDescent="0.2">
      <c r="A73" t="s">
        <v>257</v>
      </c>
      <c r="B73" t="s">
        <v>138</v>
      </c>
      <c r="C73">
        <f>C82-CED!C70</f>
        <v>3.9684380000000047E-3</v>
      </c>
      <c r="D73">
        <f>D82-CED!D70</f>
        <v>3.0968660000000037E-3</v>
      </c>
      <c r="E73">
        <f>E82-CED!E70</f>
        <v>3.9735220000000071E-3</v>
      </c>
      <c r="F73">
        <f>F82-CED!F70</f>
        <v>3.6532060000000061E-3</v>
      </c>
      <c r="G73">
        <f>G82-CED!G70</f>
        <v>3.5390029999999989E-3</v>
      </c>
      <c r="H73">
        <f>H82-CED!H70</f>
        <v>2.8318839999999946E-4</v>
      </c>
      <c r="I73">
        <f>I82-CED!I70</f>
        <v>9.9360799999999999E-4</v>
      </c>
      <c r="J73">
        <f>J82-CED!J70</f>
        <v>5.4608900000000099E-3</v>
      </c>
      <c r="K73">
        <f>K82-CED!K70</f>
        <v>5.8309800000000134E-3</v>
      </c>
      <c r="L73">
        <f>L82-CED!L70</f>
        <v>9.02697999999999E-3</v>
      </c>
      <c r="M73">
        <f>M82-CED!M70</f>
        <v>4.8030480000000042E-3</v>
      </c>
      <c r="N73">
        <f>N82-CED!N70</f>
        <v>3.8729789999999986E-3</v>
      </c>
      <c r="O73">
        <f>O82-CED!O70</f>
        <v>1.0883710000000012E-3</v>
      </c>
      <c r="P73">
        <f>P82-CED!P70</f>
        <v>4.0962120000000019E-3</v>
      </c>
      <c r="Q73">
        <f>Q82-CED!Q70</f>
        <v>3.8793120000000028E-4</v>
      </c>
      <c r="R73">
        <f>R82-CED!R70</f>
        <v>7.3098700000000065E-4</v>
      </c>
      <c r="S73">
        <f>S82-CED!S70</f>
        <v>7.7459299999999877E-4</v>
      </c>
      <c r="T73">
        <f>T82-CED!T70</f>
        <v>9.3790599999999877E-4</v>
      </c>
      <c r="U73">
        <f>U82-CED!U70</f>
        <v>2.3256749999999993E-3</v>
      </c>
      <c r="V73">
        <f>V82-CED!V70</f>
        <v>4.4179469999999915E-3</v>
      </c>
      <c r="W73">
        <f>W82-CED!W70</f>
        <v>1.7836500000000015</v>
      </c>
      <c r="X73">
        <f>X82-CED!X70</f>
        <v>1.1129899999999998E-2</v>
      </c>
      <c r="Y73">
        <f>Y82-CED!Y70</f>
        <v>2.7121819999999985</v>
      </c>
      <c r="Z73">
        <f>Z82-CED!Z70</f>
        <v>2.4457159999999973</v>
      </c>
      <c r="AA73">
        <f>AA82-CED!AA70</f>
        <v>3.0257660000000044</v>
      </c>
      <c r="AB73">
        <f>AB82-CED!AB70</f>
        <v>1.0034390000000002</v>
      </c>
      <c r="AC73">
        <f>AC82-CED!AC70</f>
        <v>0.10622990000000021</v>
      </c>
      <c r="AD73">
        <f>AD82-CED!AD70</f>
        <v>0.27148980000000034</v>
      </c>
      <c r="AE73">
        <f>AE82-CED!AE70</f>
        <v>1.4337299999999997E-2</v>
      </c>
      <c r="AF73">
        <f>AF82-CED!AF70</f>
        <v>1.0262780000000014</v>
      </c>
      <c r="AG73">
        <f>AG82-CED!AG70</f>
        <v>4.2040219999999962E-2</v>
      </c>
      <c r="AH73">
        <f>AH82-CED!AH70</f>
        <v>6.5956800000000204E-3</v>
      </c>
      <c r="AI73">
        <f>AI82-CED!AI70</f>
        <v>3.6282110000000062E-3</v>
      </c>
      <c r="AJ73">
        <f>AJ82-CED!AJ70</f>
        <v>7.7331800000000027E-4</v>
      </c>
      <c r="AK73">
        <f>AK82-CED!AK70</f>
        <v>8.1773099999999863E-4</v>
      </c>
      <c r="AL73">
        <f>AL82-CED!AL70</f>
        <v>1.1193520000000014E-4</v>
      </c>
      <c r="AM73">
        <f>AM82-CED!AM70</f>
        <v>1.9745039999999998E-5</v>
      </c>
      <c r="AN73">
        <f>AN82-CED!AN70</f>
        <v>2.5939329999999979E-5</v>
      </c>
      <c r="AO73">
        <f>AO82-CED!AO70</f>
        <v>0</v>
      </c>
      <c r="AP73">
        <f>AP82-CED!AP70</f>
        <v>1.7667180000000005E-2</v>
      </c>
      <c r="AQ73">
        <f>AQ82-CED!AQ70</f>
        <v>1.0644230000000005E-2</v>
      </c>
      <c r="AR73">
        <f>AR82-CED!AR70</f>
        <v>1.0201999999999998E-4</v>
      </c>
      <c r="AS73">
        <f>AS82-CED!AS70</f>
        <v>9.9476999999999725E-5</v>
      </c>
      <c r="AT73">
        <f>AT82-CED!AT70</f>
        <v>2.3111480000000042E-4</v>
      </c>
      <c r="AU73">
        <f>AU82-CED!AU70</f>
        <v>1.2659360000000022E-3</v>
      </c>
      <c r="AV73">
        <f>AV82-CED!AV70</f>
        <v>1.7572189999999974E-3</v>
      </c>
      <c r="AW73">
        <f>AW82-CED!AW70</f>
        <v>1.4514230000000003E-3</v>
      </c>
      <c r="AX73">
        <f>AX82-CED!AX70</f>
        <v>1.6372080000000011E-3</v>
      </c>
      <c r="AY73">
        <f>AY82-CED!AY70</f>
        <v>6.4247499999999999E-4</v>
      </c>
      <c r="AZ73">
        <f>AZ82-CED!AZ70</f>
        <v>0</v>
      </c>
      <c r="BA73">
        <f>BA82-CED!BA70</f>
        <v>18.94023999999996</v>
      </c>
      <c r="BB73">
        <f>BB82-CED!BB70</f>
        <v>17.915039999999976</v>
      </c>
    </row>
    <row r="75" spans="1:54" x14ac:dyDescent="0.2">
      <c r="A75" t="s">
        <v>137</v>
      </c>
      <c r="B75" t="s">
        <v>138</v>
      </c>
      <c r="C75" s="18">
        <f>SUM(C76:C85)</f>
        <v>108.92603525209999</v>
      </c>
      <c r="D75" s="18">
        <f t="shared" ref="D75:AY75" si="0">SUM(D76:D85)</f>
        <v>98.690985539899998</v>
      </c>
      <c r="E75" s="18">
        <f t="shared" si="0"/>
        <v>117.5393863951</v>
      </c>
      <c r="F75" s="18">
        <f t="shared" si="0"/>
        <v>162.18393190809999</v>
      </c>
      <c r="G75" s="18">
        <f t="shared" si="0"/>
        <v>104.61675409799999</v>
      </c>
      <c r="H75" s="18">
        <f t="shared" si="0"/>
        <v>42.204533687929995</v>
      </c>
      <c r="I75" s="18">
        <f t="shared" si="0"/>
        <v>57.680361615980004</v>
      </c>
      <c r="J75" s="18">
        <f t="shared" si="0"/>
        <v>153.17616573981002</v>
      </c>
      <c r="K75" s="18">
        <f t="shared" si="0"/>
        <v>171.14431344467997</v>
      </c>
      <c r="L75" s="18">
        <f t="shared" si="0"/>
        <v>98.883330946399994</v>
      </c>
      <c r="M75" s="18">
        <f t="shared" si="0"/>
        <v>54.420202542079998</v>
      </c>
      <c r="N75" s="18">
        <f t="shared" si="0"/>
        <v>52.71132434826999</v>
      </c>
      <c r="O75" s="18">
        <f t="shared" si="0"/>
        <v>42.488933016510003</v>
      </c>
      <c r="P75" s="18">
        <f t="shared" si="0"/>
        <v>44.143657429820003</v>
      </c>
      <c r="Q75" s="18">
        <f t="shared" si="0"/>
        <v>15.712037627434002</v>
      </c>
      <c r="R75" s="18">
        <f t="shared" si="0"/>
        <v>19.542779640630002</v>
      </c>
      <c r="S75" s="18">
        <f t="shared" si="0"/>
        <v>24.229837345770004</v>
      </c>
      <c r="T75" s="18">
        <f t="shared" si="0"/>
        <v>30.991484194680005</v>
      </c>
      <c r="U75" s="18">
        <f t="shared" si="0"/>
        <v>62.723201602110002</v>
      </c>
      <c r="V75" s="18">
        <f t="shared" si="0"/>
        <v>66.340434250909993</v>
      </c>
      <c r="W75" s="18">
        <f t="shared" si="0"/>
        <v>92.921801048000006</v>
      </c>
      <c r="X75" s="18">
        <f t="shared" si="0"/>
        <v>311.46830755545994</v>
      </c>
      <c r="Y75" s="18">
        <f t="shared" si="0"/>
        <v>351.82147989399999</v>
      </c>
      <c r="Z75" s="18">
        <f t="shared" si="0"/>
        <v>267.77893611259998</v>
      </c>
      <c r="AA75" s="18">
        <f t="shared" si="0"/>
        <v>264.23738056899998</v>
      </c>
      <c r="AB75" s="18">
        <f t="shared" si="0"/>
        <v>24.553217216629999</v>
      </c>
      <c r="AC75" s="18">
        <f t="shared" si="0"/>
        <v>1026.4995841850002</v>
      </c>
      <c r="AD75" s="18">
        <f t="shared" si="0"/>
        <v>6.7862698361249993</v>
      </c>
      <c r="AE75" s="18">
        <f t="shared" si="0"/>
        <v>30.620649972459997</v>
      </c>
      <c r="AF75" s="18">
        <f t="shared" si="0"/>
        <v>58.265819822179992</v>
      </c>
      <c r="AG75" s="18">
        <f t="shared" si="0"/>
        <v>9906.1059710667014</v>
      </c>
      <c r="AH75" s="18">
        <f t="shared" si="0"/>
        <v>75.046132269278587</v>
      </c>
      <c r="AI75" s="18">
        <f t="shared" si="0"/>
        <v>150.92880727801</v>
      </c>
      <c r="AJ75" s="18">
        <f t="shared" si="0"/>
        <v>11.670690669975999</v>
      </c>
      <c r="AK75" s="18">
        <f t="shared" si="0"/>
        <v>13.034391756222002</v>
      </c>
      <c r="AL75" s="18">
        <f t="shared" si="0"/>
        <v>8.5397430616009995</v>
      </c>
      <c r="AM75" s="18">
        <f t="shared" si="0"/>
        <v>2254.633576993795</v>
      </c>
      <c r="AN75" s="18">
        <f t="shared" si="0"/>
        <v>706.67574327629472</v>
      </c>
      <c r="AO75" s="18">
        <f t="shared" si="0"/>
        <v>0</v>
      </c>
      <c r="AP75" s="18">
        <f t="shared" si="0"/>
        <v>106.924613969239</v>
      </c>
      <c r="AQ75" s="18">
        <f t="shared" si="0"/>
        <v>237.35047786016997</v>
      </c>
      <c r="AR75" s="18">
        <f t="shared" si="0"/>
        <v>2.8959371009052002</v>
      </c>
      <c r="AS75" s="18">
        <f t="shared" si="0"/>
        <v>2.7512592980058002</v>
      </c>
      <c r="AT75" s="18">
        <f t="shared" si="0"/>
        <v>6.2605752991160006</v>
      </c>
      <c r="AU75" s="18">
        <f t="shared" si="0"/>
        <v>7.7898042064650008</v>
      </c>
      <c r="AV75" s="18">
        <f t="shared" si="0"/>
        <v>10.801888485723</v>
      </c>
      <c r="AW75" s="18">
        <f t="shared" si="0"/>
        <v>8.9124059270319993</v>
      </c>
      <c r="AX75" s="18">
        <f t="shared" si="0"/>
        <v>20.495155893635101</v>
      </c>
      <c r="AY75" s="18">
        <f t="shared" si="0"/>
        <v>1.0316543113419998</v>
      </c>
      <c r="AZ75" s="18">
        <v>0</v>
      </c>
      <c r="BA75" s="18">
        <v>4982781.3</v>
      </c>
      <c r="BB75" s="18">
        <v>4708334.8</v>
      </c>
    </row>
    <row r="76" spans="1:54" x14ac:dyDescent="0.2">
      <c r="A76" t="s">
        <v>139</v>
      </c>
      <c r="B76" t="s">
        <v>138</v>
      </c>
      <c r="C76">
        <v>56.711688000000002</v>
      </c>
      <c r="D76">
        <v>54.073500000000003</v>
      </c>
      <c r="E76">
        <v>55.591892000000001</v>
      </c>
      <c r="F76">
        <v>55.680886000000001</v>
      </c>
      <c r="G76">
        <v>52.583013999999999</v>
      </c>
      <c r="H76">
        <v>37.471457000000001</v>
      </c>
      <c r="I76">
        <v>43.226053</v>
      </c>
      <c r="J76">
        <v>48.260545</v>
      </c>
      <c r="K76">
        <v>46.521259000000001</v>
      </c>
      <c r="L76">
        <v>27.229766999999999</v>
      </c>
      <c r="M76">
        <v>28.097947999999999</v>
      </c>
      <c r="N76">
        <v>29.753412999999998</v>
      </c>
      <c r="O76">
        <v>26.191223000000001</v>
      </c>
      <c r="P76">
        <v>20.779454000000001</v>
      </c>
      <c r="Q76">
        <v>10.569086</v>
      </c>
      <c r="R76">
        <v>10.823083</v>
      </c>
      <c r="S76">
        <v>11.622142</v>
      </c>
      <c r="T76">
        <v>12.434898</v>
      </c>
      <c r="U76">
        <v>11.887959</v>
      </c>
      <c r="V76">
        <v>2.2051693999999999</v>
      </c>
      <c r="W76">
        <v>5.1978017000000003</v>
      </c>
      <c r="X76">
        <v>6.3935997999999996</v>
      </c>
      <c r="Y76">
        <v>10.936715</v>
      </c>
      <c r="Z76">
        <v>11.793715000000001</v>
      </c>
      <c r="AA76">
        <v>7.3113285000000001</v>
      </c>
      <c r="AB76">
        <v>0.50362368999999996</v>
      </c>
      <c r="AC76">
        <v>60.357686000000001</v>
      </c>
      <c r="AD76">
        <v>0.88501602999999995</v>
      </c>
      <c r="AE76">
        <v>1.3419274000000001</v>
      </c>
      <c r="AF76">
        <v>1.6003472999999999</v>
      </c>
      <c r="AG76">
        <v>19.525621000000001</v>
      </c>
      <c r="AH76">
        <v>69.307368999999994</v>
      </c>
      <c r="AI76">
        <v>150.22594000000001</v>
      </c>
      <c r="AJ76">
        <v>0.44934592000000001</v>
      </c>
      <c r="AK76">
        <v>0.47051472999999999</v>
      </c>
      <c r="AL76">
        <v>0.14239713000000001</v>
      </c>
      <c r="AM76">
        <v>3.5111958999999998E-2</v>
      </c>
      <c r="AN76">
        <v>3.7001526999999999E-2</v>
      </c>
      <c r="AO76">
        <v>0</v>
      </c>
      <c r="AP76">
        <v>5.3681988</v>
      </c>
      <c r="AQ76">
        <v>6.5702695000000002</v>
      </c>
      <c r="AR76">
        <v>5.7079492000000003E-2</v>
      </c>
      <c r="AS76">
        <v>5.4065551000000003E-2</v>
      </c>
      <c r="AT76">
        <v>0.10261164</v>
      </c>
      <c r="AU76">
        <v>0.40091996000000002</v>
      </c>
      <c r="AV76">
        <v>0.53991179</v>
      </c>
      <c r="AW76">
        <v>0.45728067999999999</v>
      </c>
      <c r="AX76">
        <v>0.49847160000000001</v>
      </c>
      <c r="AY76">
        <v>0.77205020000000002</v>
      </c>
      <c r="AZ76">
        <v>0</v>
      </c>
      <c r="BA76">
        <v>34219.512000000002</v>
      </c>
      <c r="BB76">
        <v>32341.052</v>
      </c>
    </row>
    <row r="77" spans="1:54" x14ac:dyDescent="0.2">
      <c r="A77" t="s">
        <v>140</v>
      </c>
      <c r="B77" t="s">
        <v>138</v>
      </c>
      <c r="C77">
        <v>0.86532898999999996</v>
      </c>
      <c r="D77">
        <v>0.71406952000000001</v>
      </c>
      <c r="E77">
        <v>0.91981550999999995</v>
      </c>
      <c r="F77">
        <v>0.78783422999999997</v>
      </c>
      <c r="G77">
        <v>0.79744391999999997</v>
      </c>
      <c r="H77">
        <v>2.7023003E-2</v>
      </c>
      <c r="I77">
        <v>0.14087663</v>
      </c>
      <c r="J77">
        <v>1.7571753000000001</v>
      </c>
      <c r="K77">
        <v>1.9902228</v>
      </c>
      <c r="L77">
        <v>1.1044219</v>
      </c>
      <c r="M77">
        <v>0.41405847000000001</v>
      </c>
      <c r="N77">
        <v>0.36844821999999999</v>
      </c>
      <c r="O77">
        <v>0.25989286</v>
      </c>
      <c r="P77">
        <v>0.30484872000000002</v>
      </c>
      <c r="Q77">
        <v>0.10722601</v>
      </c>
      <c r="R77">
        <v>0.11666519</v>
      </c>
      <c r="S77">
        <v>0.21991385999999999</v>
      </c>
      <c r="T77">
        <v>0.23376321999999999</v>
      </c>
      <c r="U77">
        <v>0.69077451000000001</v>
      </c>
      <c r="V77">
        <v>0.63029963</v>
      </c>
      <c r="W77">
        <v>0.53829503999999995</v>
      </c>
      <c r="X77">
        <v>2.9917631999999998</v>
      </c>
      <c r="Y77">
        <v>2.8520911</v>
      </c>
      <c r="Z77">
        <v>1.9873539</v>
      </c>
      <c r="AA77">
        <v>1.7089737</v>
      </c>
      <c r="AB77">
        <v>3.9330325999999999E-2</v>
      </c>
      <c r="AC77">
        <v>15.590088</v>
      </c>
      <c r="AD77">
        <v>1.6191486000000001E-2</v>
      </c>
      <c r="AE77">
        <v>0.48190446999999997</v>
      </c>
      <c r="AF77">
        <v>0.58049448999999997</v>
      </c>
      <c r="AG77">
        <v>4.9045721999999996</v>
      </c>
      <c r="AH77">
        <v>1.4719625999999999</v>
      </c>
      <c r="AI77">
        <v>0.29162071000000001</v>
      </c>
      <c r="AJ77">
        <v>8.1172659999999994E-2</v>
      </c>
      <c r="AK77">
        <v>0.10540455</v>
      </c>
      <c r="AL77">
        <v>2.1284312999999999E-2</v>
      </c>
      <c r="AM77">
        <v>4.9875730000000004E-3</v>
      </c>
      <c r="AN77">
        <v>7.0426415000000003E-3</v>
      </c>
      <c r="AO77">
        <v>0</v>
      </c>
      <c r="AP77">
        <v>1.9871946</v>
      </c>
      <c r="AQ77">
        <v>3.8577414000000001</v>
      </c>
      <c r="AR77">
        <v>2.5667348E-2</v>
      </c>
      <c r="AS77">
        <v>2.5084511E-2</v>
      </c>
      <c r="AT77">
        <v>5.2566302000000002E-2</v>
      </c>
      <c r="AU77">
        <v>0.14307276999999999</v>
      </c>
      <c r="AV77">
        <v>0.19859966000000001</v>
      </c>
      <c r="AW77">
        <v>0.16393632999999999</v>
      </c>
      <c r="AX77">
        <v>0.18424607000000001</v>
      </c>
      <c r="AY77">
        <v>0.11317990999999999</v>
      </c>
      <c r="AZ77">
        <v>0</v>
      </c>
      <c r="BA77">
        <v>4684939</v>
      </c>
      <c r="BB77">
        <v>4424674.9000000004</v>
      </c>
    </row>
    <row r="78" spans="1:54" x14ac:dyDescent="0.2">
      <c r="A78" t="s">
        <v>141</v>
      </c>
      <c r="B78" t="s">
        <v>138</v>
      </c>
      <c r="C78">
        <v>3.408899E-2</v>
      </c>
      <c r="D78">
        <v>3.1473645000000001E-2</v>
      </c>
      <c r="E78">
        <v>3.8900770000000001E-2</v>
      </c>
      <c r="F78">
        <v>3.0074399000000002E-2</v>
      </c>
      <c r="G78">
        <v>3.4472862999999999E-2</v>
      </c>
      <c r="H78">
        <v>1.9364606999999999E-3</v>
      </c>
      <c r="I78">
        <v>4.5241201E-3</v>
      </c>
      <c r="J78">
        <v>7.4591487999999997E-2</v>
      </c>
      <c r="K78">
        <v>8.7037279999999995E-2</v>
      </c>
      <c r="L78">
        <v>4.5094935000000003E-2</v>
      </c>
      <c r="M78">
        <v>1.7350206999999999E-2</v>
      </c>
      <c r="N78">
        <v>1.5838951E-2</v>
      </c>
      <c r="O78">
        <v>1.0969681E-2</v>
      </c>
      <c r="P78">
        <v>1.2624177E-2</v>
      </c>
      <c r="Q78">
        <v>7.9110485999999997E-3</v>
      </c>
      <c r="R78">
        <v>5.2350032000000003E-3</v>
      </c>
      <c r="S78">
        <v>8.1864400999999993E-3</v>
      </c>
      <c r="T78">
        <v>1.0287087E-2</v>
      </c>
      <c r="U78">
        <v>2.5221160999999999E-2</v>
      </c>
      <c r="V78">
        <v>5.0142457000000003E-3</v>
      </c>
      <c r="W78">
        <v>1.2218756000000001E-2</v>
      </c>
      <c r="X78">
        <v>2.6926977000000001E-2</v>
      </c>
      <c r="Y78">
        <v>3.7864143000000003E-2</v>
      </c>
      <c r="Z78">
        <v>2.5715568000000001E-2</v>
      </c>
      <c r="AA78">
        <v>2.3599294999999999E-2</v>
      </c>
      <c r="AB78">
        <v>1.5243294E-3</v>
      </c>
      <c r="AC78">
        <v>0.68141963999999999</v>
      </c>
      <c r="AD78">
        <v>7.5744512000000003E-3</v>
      </c>
      <c r="AE78">
        <v>2.2326204999999998E-2</v>
      </c>
      <c r="AF78">
        <v>2.6654559000000001E-2</v>
      </c>
      <c r="AG78">
        <v>140.08878999999999</v>
      </c>
      <c r="AH78">
        <v>1.2428558000000001E-4</v>
      </c>
      <c r="AI78">
        <v>2.8332464000000002E-2</v>
      </c>
      <c r="AJ78">
        <v>2.6414261000000001E-3</v>
      </c>
      <c r="AK78">
        <v>3.7059249000000001E-3</v>
      </c>
      <c r="AL78" s="16">
        <v>3.6</v>
      </c>
      <c r="AM78">
        <v>1.7655311E-4</v>
      </c>
      <c r="AN78">
        <v>2.2937152999999999E-4</v>
      </c>
      <c r="AO78">
        <v>0</v>
      </c>
      <c r="AP78">
        <v>0.99091686000000001</v>
      </c>
      <c r="AQ78">
        <v>0.17254642000000001</v>
      </c>
      <c r="AR78">
        <v>3.8324107999999999E-4</v>
      </c>
      <c r="AS78">
        <v>3.6557332000000003E-4</v>
      </c>
      <c r="AT78">
        <v>1.1493057E-3</v>
      </c>
      <c r="AU78">
        <v>7.0609006000000002E-2</v>
      </c>
      <c r="AV78">
        <v>9.8344261000000002E-2</v>
      </c>
      <c r="AW78">
        <v>8.1012643999999995E-2</v>
      </c>
      <c r="AX78">
        <v>9.1758141000000001E-2</v>
      </c>
      <c r="AY78">
        <v>1.4672407E-2</v>
      </c>
      <c r="AZ78">
        <v>0</v>
      </c>
      <c r="BA78">
        <v>293.01046000000002</v>
      </c>
      <c r="BB78">
        <v>278.38677000000001</v>
      </c>
    </row>
    <row r="79" spans="1:54" s="8" customFormat="1" x14ac:dyDescent="0.2">
      <c r="A79" s="8" t="s">
        <v>142</v>
      </c>
      <c r="B79" s="8" t="s">
        <v>138</v>
      </c>
      <c r="C79" s="8">
        <v>2.1222945E-3</v>
      </c>
      <c r="D79" s="8">
        <v>2.0102993000000002E-3</v>
      </c>
      <c r="E79" s="8">
        <v>2.5277496999999999E-3</v>
      </c>
      <c r="F79" s="8">
        <v>1.9132901E-3</v>
      </c>
      <c r="G79" s="8">
        <v>2.1761635999999998E-3</v>
      </c>
      <c r="H79" s="8">
        <v>1.0980679E-4</v>
      </c>
      <c r="I79" s="8">
        <v>4.1693992999999998E-4</v>
      </c>
      <c r="J79" s="8">
        <v>4.4123334999999998E-3</v>
      </c>
      <c r="K79" s="8">
        <v>5.1567516000000004E-3</v>
      </c>
      <c r="L79" s="8">
        <v>3.4096443E-3</v>
      </c>
      <c r="M79" s="8">
        <v>1.2103455E-3</v>
      </c>
      <c r="N79" s="8">
        <v>1.0201112E-3</v>
      </c>
      <c r="O79" s="8">
        <v>7.2927004000000002E-4</v>
      </c>
      <c r="P79" s="8">
        <v>9.5298401999999996E-4</v>
      </c>
      <c r="Q79" s="8">
        <v>7.5070846E-4</v>
      </c>
      <c r="R79" s="8">
        <v>3.6643184000000002E-4</v>
      </c>
      <c r="S79" s="8">
        <v>4.6073316000000002E-4</v>
      </c>
      <c r="T79" s="8">
        <v>6.2939555999999997E-4</v>
      </c>
      <c r="U79" s="8">
        <v>2.1423436999999999E-3</v>
      </c>
      <c r="V79" s="8">
        <v>4.5088302000000002E-3</v>
      </c>
      <c r="W79" s="8">
        <v>2.8302623000000002E-3</v>
      </c>
      <c r="X79" s="8">
        <v>2.0813165000000002E-2</v>
      </c>
      <c r="Y79" s="8">
        <v>1.8264931000000002E-2</v>
      </c>
      <c r="Z79" s="8">
        <v>1.2756513000000001E-2</v>
      </c>
      <c r="AA79" s="8">
        <v>1.1560654E-2</v>
      </c>
      <c r="AB79" s="8">
        <v>1.3158150000000001E-4</v>
      </c>
      <c r="AC79" s="8">
        <v>4.2965171000000003E-2</v>
      </c>
      <c r="AD79" s="8">
        <v>4.1794885000000001E-5</v>
      </c>
      <c r="AE79" s="8">
        <v>1.7732055999999999E-3</v>
      </c>
      <c r="AF79" s="8">
        <v>2.0412308000000001E-3</v>
      </c>
      <c r="AG79" s="8">
        <v>47.298839999999998</v>
      </c>
      <c r="AH79" s="8">
        <v>1.5707364E-5</v>
      </c>
      <c r="AI79" s="8">
        <v>7.1955556999999998E-4</v>
      </c>
      <c r="AJ79" s="17">
        <v>3.6</v>
      </c>
      <c r="AK79" s="17">
        <v>3.6</v>
      </c>
      <c r="AL79" s="8">
        <v>7.9428549000000001E-5</v>
      </c>
      <c r="AM79" s="8">
        <v>1.9311664000000002E-5</v>
      </c>
      <c r="AN79" s="8">
        <v>2.8931058E-5</v>
      </c>
      <c r="AO79" s="8">
        <v>0</v>
      </c>
      <c r="AP79" s="8">
        <v>0.32937007000000001</v>
      </c>
      <c r="AQ79" s="8">
        <v>1.0294113000000001E-2</v>
      </c>
      <c r="AR79" s="17">
        <v>0</v>
      </c>
      <c r="AS79" s="17">
        <v>0</v>
      </c>
      <c r="AT79" s="17">
        <v>0</v>
      </c>
      <c r="AU79" s="8">
        <v>2.3464761000000001E-2</v>
      </c>
      <c r="AV79" s="8">
        <v>3.2689448000000003E-2</v>
      </c>
      <c r="AW79" s="8">
        <v>2.6922818000000001E-2</v>
      </c>
      <c r="AX79" s="8">
        <v>3.0498846999999999E-2</v>
      </c>
      <c r="AY79" s="8">
        <v>1.1308377E-5</v>
      </c>
      <c r="AZ79" s="8">
        <v>0</v>
      </c>
      <c r="BA79">
        <v>95.358149999999995</v>
      </c>
      <c r="BB79">
        <v>90.585876999999996</v>
      </c>
    </row>
    <row r="80" spans="1:54" x14ac:dyDescent="0.2">
      <c r="A80" t="s">
        <v>143</v>
      </c>
      <c r="B80" t="s">
        <v>138</v>
      </c>
      <c r="C80">
        <v>0.14543323999999999</v>
      </c>
      <c r="D80">
        <v>0.13297827000000001</v>
      </c>
      <c r="E80">
        <v>0.17703938</v>
      </c>
      <c r="F80">
        <v>0.24948049999999999</v>
      </c>
      <c r="G80">
        <v>0.16347474000000001</v>
      </c>
      <c r="H80">
        <v>0.11259379999999999</v>
      </c>
      <c r="I80">
        <v>3.5371197E-2</v>
      </c>
      <c r="J80">
        <v>0.30098520000000001</v>
      </c>
      <c r="K80">
        <v>0.36873636999999998</v>
      </c>
      <c r="L80">
        <v>0.21789074</v>
      </c>
      <c r="M80">
        <v>8.1672045999999998E-2</v>
      </c>
      <c r="N80">
        <v>7.2095098999999996E-2</v>
      </c>
      <c r="O80">
        <v>5.3558486000000002E-2</v>
      </c>
      <c r="P80">
        <v>7.7056101000000002E-2</v>
      </c>
      <c r="Q80">
        <v>1.2525991E-2</v>
      </c>
      <c r="R80">
        <v>2.4469014000000001E-2</v>
      </c>
      <c r="S80">
        <v>3.3995405999999999E-2</v>
      </c>
      <c r="T80">
        <v>5.6826562999999997E-2</v>
      </c>
      <c r="U80">
        <v>0.14693110000000001</v>
      </c>
      <c r="V80">
        <v>0.21318329</v>
      </c>
      <c r="W80">
        <v>0.16745193999999999</v>
      </c>
      <c r="X80">
        <v>1.0123857000000001</v>
      </c>
      <c r="Y80">
        <v>0.94296093999999997</v>
      </c>
      <c r="Z80">
        <v>0.68294487000000004</v>
      </c>
      <c r="AA80">
        <v>0.5644015</v>
      </c>
      <c r="AB80">
        <v>8.7978724000000001E-3</v>
      </c>
      <c r="AC80">
        <v>2.8996179</v>
      </c>
      <c r="AD80">
        <v>0.12520144999999999</v>
      </c>
      <c r="AE80">
        <v>8.7853239999999999E-2</v>
      </c>
      <c r="AF80">
        <v>0.10608711999999999</v>
      </c>
      <c r="AG80">
        <v>17.304470999999999</v>
      </c>
      <c r="AH80">
        <v>5.8328421999999998E-2</v>
      </c>
      <c r="AI80">
        <v>0.17443966999999999</v>
      </c>
      <c r="AJ80">
        <v>4.4589556000000002E-2</v>
      </c>
      <c r="AK80">
        <v>5.1624806000000002E-2</v>
      </c>
      <c r="AL80">
        <v>9.8745343999999992E-3</v>
      </c>
      <c r="AM80">
        <v>3.7918650999999999</v>
      </c>
      <c r="AN80">
        <v>3.7925219999999999</v>
      </c>
      <c r="AO80">
        <v>0</v>
      </c>
      <c r="AP80">
        <v>0.19639955000000001</v>
      </c>
      <c r="AQ80">
        <v>0.68439691000000002</v>
      </c>
      <c r="AR80">
        <v>1.0498011999999999E-2</v>
      </c>
      <c r="AS80">
        <v>1.0444963999999999E-2</v>
      </c>
      <c r="AT80">
        <v>1.918336E-2</v>
      </c>
      <c r="AU80">
        <v>1.4449727000000001E-2</v>
      </c>
      <c r="AV80">
        <v>1.9986896000000001E-2</v>
      </c>
      <c r="AW80">
        <v>1.6511726000000001E-2</v>
      </c>
      <c r="AX80">
        <v>1.8265877E-2</v>
      </c>
      <c r="AY80">
        <v>7.0062453999999996E-2</v>
      </c>
      <c r="AZ80">
        <v>0</v>
      </c>
      <c r="BA80">
        <v>956.41965000000005</v>
      </c>
      <c r="BB80">
        <v>908.90912000000003</v>
      </c>
    </row>
    <row r="81" spans="1:54" x14ac:dyDescent="0.2">
      <c r="A81" t="s">
        <v>144</v>
      </c>
      <c r="B81" t="s">
        <v>138</v>
      </c>
      <c r="C81">
        <v>2.1669976000000001E-3</v>
      </c>
      <c r="D81">
        <v>1.4154628E-3</v>
      </c>
      <c r="E81">
        <v>1.9419184000000001E-3</v>
      </c>
      <c r="F81">
        <v>1.85271E-3</v>
      </c>
      <c r="G81">
        <v>1.7381484E-3</v>
      </c>
      <c r="H81">
        <v>2.0454374000000001E-4</v>
      </c>
      <c r="I81">
        <v>8.9506695000000002E-4</v>
      </c>
      <c r="J81">
        <v>9.8253231E-4</v>
      </c>
      <c r="K81">
        <v>5.2342907999999996E-4</v>
      </c>
      <c r="L81">
        <v>1.2187851E-3</v>
      </c>
      <c r="M81">
        <v>4.4210377999999998E-4</v>
      </c>
      <c r="N81">
        <v>3.2423137000000001E-4</v>
      </c>
      <c r="O81">
        <v>3.3226556999999999E-4</v>
      </c>
      <c r="P81">
        <v>2.5728218000000001E-3</v>
      </c>
      <c r="Q81" s="1">
        <v>2.9845384E-5</v>
      </c>
      <c r="R81">
        <v>1.2700668999999999E-4</v>
      </c>
      <c r="S81">
        <v>2.3871291E-4</v>
      </c>
      <c r="T81">
        <v>2.5753031999999998E-4</v>
      </c>
      <c r="U81">
        <v>9.2619241000000004E-4</v>
      </c>
      <c r="V81">
        <v>2.1471521000000001E-4</v>
      </c>
      <c r="W81">
        <v>6.7910306999999998E-3</v>
      </c>
      <c r="X81">
        <v>4.7376546000000002E-4</v>
      </c>
      <c r="Y81">
        <v>1.0457269999999999E-2</v>
      </c>
      <c r="Z81">
        <v>3.9473866E-3</v>
      </c>
      <c r="AA81">
        <v>7.0820052999999996</v>
      </c>
      <c r="AB81">
        <v>2.6347763E-4</v>
      </c>
      <c r="AC81">
        <v>8.4428654000000006E-2</v>
      </c>
      <c r="AD81" s="1">
        <v>7.7349639999999998E-5</v>
      </c>
      <c r="AE81">
        <v>7.8357736000000001E-4</v>
      </c>
      <c r="AF81">
        <v>7.3868247999999998E-4</v>
      </c>
      <c r="AG81">
        <v>2.4337967E-3</v>
      </c>
      <c r="AH81" s="1">
        <v>3.5268346E-6</v>
      </c>
      <c r="AI81" s="1">
        <v>3.8084643999999998E-4</v>
      </c>
      <c r="AJ81" s="1">
        <v>9.4134776000000006E-5</v>
      </c>
      <c r="AK81" s="1">
        <v>6.9529522000000006E-5</v>
      </c>
      <c r="AL81" s="1">
        <v>2.7211711999999998E-5</v>
      </c>
      <c r="AM81" s="1">
        <v>6.0997111000000003E-6</v>
      </c>
      <c r="AN81" s="1">
        <v>9.0119167999999992E-6</v>
      </c>
      <c r="AO81" s="1">
        <v>0</v>
      </c>
      <c r="AP81" s="1">
        <v>9.4803938999999995E-5</v>
      </c>
      <c r="AQ81" s="1">
        <v>1.0685857E-4</v>
      </c>
      <c r="AR81" s="1">
        <v>7.7561151999999994E-6</v>
      </c>
      <c r="AS81" s="1">
        <v>7.2163258000000003E-6</v>
      </c>
      <c r="AT81" s="1">
        <v>1.0978176E-5</v>
      </c>
      <c r="AU81" s="1">
        <v>1.0100055E-5</v>
      </c>
      <c r="AV81" s="1">
        <v>1.0719862999999999E-5</v>
      </c>
      <c r="AW81" s="1">
        <v>1.1095401999999999E-5</v>
      </c>
      <c r="AX81" s="1">
        <v>9.0519650999999999E-6</v>
      </c>
      <c r="AY81" s="1">
        <v>6.7100265000000003E-5</v>
      </c>
      <c r="AZ81">
        <v>0</v>
      </c>
      <c r="BA81">
        <v>15.60946</v>
      </c>
      <c r="BB81">
        <v>14.743765</v>
      </c>
    </row>
    <row r="82" spans="1:54" x14ac:dyDescent="0.2">
      <c r="A82" t="s">
        <v>145</v>
      </c>
      <c r="B82" t="s">
        <v>138</v>
      </c>
      <c r="C82">
        <v>8.3337189000000006E-2</v>
      </c>
      <c r="D82">
        <v>6.5034194000000003E-2</v>
      </c>
      <c r="E82">
        <v>8.3443953000000001E-2</v>
      </c>
      <c r="F82">
        <v>7.671733E-2</v>
      </c>
      <c r="G82">
        <v>7.4319069000000001E-2</v>
      </c>
      <c r="H82">
        <v>5.9469566999999996E-3</v>
      </c>
      <c r="I82">
        <v>2.0865779000000001E-2</v>
      </c>
      <c r="J82">
        <v>0.11467855</v>
      </c>
      <c r="K82">
        <v>0.12245060000000001</v>
      </c>
      <c r="L82">
        <v>0.18956656999999999</v>
      </c>
      <c r="M82">
        <v>0.10086394</v>
      </c>
      <c r="N82">
        <v>8.1332555000000001E-2</v>
      </c>
      <c r="O82">
        <v>2.2855785999999999E-2</v>
      </c>
      <c r="P82">
        <v>8.6020468000000003E-2</v>
      </c>
      <c r="Q82">
        <v>8.1465557000000004E-3</v>
      </c>
      <c r="R82">
        <v>1.5350735000000001E-2</v>
      </c>
      <c r="S82">
        <v>1.6266449999999998E-2</v>
      </c>
      <c r="T82">
        <v>1.9696023999999999E-2</v>
      </c>
      <c r="U82">
        <v>4.8839182000000002E-2</v>
      </c>
      <c r="V82">
        <v>9.2776898999999996E-2</v>
      </c>
      <c r="W82">
        <v>37.456639000000003</v>
      </c>
      <c r="X82">
        <v>0.23372794999999999</v>
      </c>
      <c r="Y82">
        <v>56.955807</v>
      </c>
      <c r="Z82">
        <v>51.360031999999997</v>
      </c>
      <c r="AA82">
        <v>63.541096000000003</v>
      </c>
      <c r="AB82">
        <v>21.072216999999998</v>
      </c>
      <c r="AC82">
        <v>2.2308273000000001</v>
      </c>
      <c r="AD82">
        <v>5.7012841999999999</v>
      </c>
      <c r="AE82">
        <v>0.3010832</v>
      </c>
      <c r="AF82">
        <v>21.551848</v>
      </c>
      <c r="AG82">
        <v>0.88284448999999998</v>
      </c>
      <c r="AH82">
        <v>0.13850923000000001</v>
      </c>
      <c r="AI82">
        <v>7.6192436000000002E-2</v>
      </c>
      <c r="AJ82">
        <v>1.6239686E-2</v>
      </c>
      <c r="AK82">
        <v>1.7172368E-2</v>
      </c>
      <c r="AL82">
        <v>2.3506396000000001E-3</v>
      </c>
      <c r="AM82">
        <v>4.1464581000000001E-4</v>
      </c>
      <c r="AN82">
        <v>5.4472579000000001E-4</v>
      </c>
      <c r="AO82">
        <v>0</v>
      </c>
      <c r="AP82">
        <v>0.37101082000000002</v>
      </c>
      <c r="AQ82">
        <v>0.22352864</v>
      </c>
      <c r="AR82">
        <v>2.1424207000000002E-3</v>
      </c>
      <c r="AS82">
        <v>2.0890167999999998E-3</v>
      </c>
      <c r="AT82">
        <v>4.8534108000000001E-3</v>
      </c>
      <c r="AU82">
        <v>2.6584657000000001E-2</v>
      </c>
      <c r="AV82">
        <v>3.6901590999999997E-2</v>
      </c>
      <c r="AW82">
        <v>3.0479900000000001E-2</v>
      </c>
      <c r="AX82">
        <v>3.4381353000000003E-2</v>
      </c>
      <c r="AY82">
        <v>1.3491975E-2</v>
      </c>
      <c r="AZ82">
        <v>0</v>
      </c>
      <c r="BA82">
        <v>397.74520999999999</v>
      </c>
      <c r="BB82">
        <v>376.21587</v>
      </c>
    </row>
    <row r="83" spans="1:54" x14ac:dyDescent="0.2">
      <c r="A83" t="s">
        <v>146</v>
      </c>
      <c r="B83" t="s">
        <v>138</v>
      </c>
      <c r="C83">
        <v>50.957943</v>
      </c>
      <c r="D83">
        <v>43.628953000000003</v>
      </c>
      <c r="E83">
        <v>60.613149</v>
      </c>
      <c r="F83">
        <v>105.27072</v>
      </c>
      <c r="G83">
        <v>50.890656999999997</v>
      </c>
      <c r="H83">
        <v>4.5660695000000002</v>
      </c>
      <c r="I83">
        <v>14.139696000000001</v>
      </c>
      <c r="J83">
        <v>102.5399</v>
      </c>
      <c r="K83">
        <v>121.98381999999999</v>
      </c>
      <c r="L83">
        <v>70.056219999999996</v>
      </c>
      <c r="M83">
        <v>25.693054</v>
      </c>
      <c r="N83">
        <v>22.406651</v>
      </c>
      <c r="O83">
        <v>15.939881</v>
      </c>
      <c r="P83">
        <v>22.844854000000002</v>
      </c>
      <c r="Q83">
        <v>5.0042457999999996</v>
      </c>
      <c r="R83">
        <v>8.5524547000000002</v>
      </c>
      <c r="S83">
        <v>12.322341</v>
      </c>
      <c r="T83">
        <v>18.226241000000002</v>
      </c>
      <c r="U83">
        <v>49.890869000000002</v>
      </c>
      <c r="V83">
        <v>63.169156999999998</v>
      </c>
      <c r="W83">
        <v>49.386271000000001</v>
      </c>
      <c r="X83">
        <v>300.62932999999998</v>
      </c>
      <c r="Y83">
        <v>279.70553000000001</v>
      </c>
      <c r="Z83">
        <v>201.67173</v>
      </c>
      <c r="AA83">
        <v>183.76997</v>
      </c>
      <c r="AB83">
        <v>2.9171182</v>
      </c>
      <c r="AC83">
        <v>943.93382999999994</v>
      </c>
      <c r="AD83">
        <v>3.7857987000000003E-2</v>
      </c>
      <c r="AE83">
        <v>28.373501999999998</v>
      </c>
      <c r="AF83">
        <v>34.384579000000002</v>
      </c>
      <c r="AG83">
        <v>9674.7361000000001</v>
      </c>
      <c r="AH83">
        <v>4.0665686000000001</v>
      </c>
      <c r="AI83">
        <v>5.4007614000000002E-2</v>
      </c>
      <c r="AJ83">
        <v>7.4396797000000001</v>
      </c>
      <c r="AK83">
        <v>8.6789675000000006</v>
      </c>
      <c r="AL83">
        <v>4.7474030000000003</v>
      </c>
      <c r="AM83">
        <v>2250.7968999999998</v>
      </c>
      <c r="AN83">
        <v>702.83389999999997</v>
      </c>
      <c r="AO83">
        <v>0</v>
      </c>
      <c r="AP83">
        <v>97.636270999999994</v>
      </c>
      <c r="AQ83">
        <v>225.78917000000001</v>
      </c>
      <c r="AR83">
        <v>2.7902347999999999</v>
      </c>
      <c r="AS83">
        <v>2.6498013</v>
      </c>
      <c r="AT83">
        <v>6.0668819000000003</v>
      </c>
      <c r="AU83">
        <v>7.1061215999999998</v>
      </c>
      <c r="AV83">
        <v>9.8691125999999993</v>
      </c>
      <c r="AW83">
        <v>8.1312049999999996</v>
      </c>
      <c r="AX83">
        <v>19.633174</v>
      </c>
      <c r="AY83">
        <v>2.4741918000000002E-2</v>
      </c>
      <c r="AZ83">
        <v>0</v>
      </c>
      <c r="BA83">
        <v>261534.98</v>
      </c>
      <c r="BB83">
        <v>249338.09</v>
      </c>
    </row>
    <row r="84" spans="1:54" x14ac:dyDescent="0.2">
      <c r="A84" t="s">
        <v>147</v>
      </c>
      <c r="B84" t="s">
        <v>138</v>
      </c>
      <c r="C84">
        <v>4.7060578999999998E-2</v>
      </c>
      <c r="D84">
        <v>3.3088825000000002E-2</v>
      </c>
      <c r="E84">
        <v>6.0558250000000001E-2</v>
      </c>
      <c r="F84">
        <v>4.2536632999999997E-2</v>
      </c>
      <c r="G84">
        <v>3.9538432999999998E-2</v>
      </c>
      <c r="H84">
        <v>1.3875200000000001E-2</v>
      </c>
      <c r="I84">
        <v>6.4514683000000003E-2</v>
      </c>
      <c r="J84">
        <v>5.3532407999999997E-2</v>
      </c>
      <c r="K84">
        <v>5.7411220999999998E-2</v>
      </c>
      <c r="L84">
        <v>1.9520250999999999E-2</v>
      </c>
      <c r="M84">
        <v>8.9007670000000004E-3</v>
      </c>
      <c r="N84">
        <v>9.2311835000000002E-3</v>
      </c>
      <c r="O84">
        <v>7.1305817999999998E-3</v>
      </c>
      <c r="P84">
        <v>2.3912099999999999E-2</v>
      </c>
      <c r="Q84">
        <v>1.6629748000000001E-3</v>
      </c>
      <c r="R84">
        <v>3.1426382999999998E-3</v>
      </c>
      <c r="S84">
        <v>4.8410539000000004E-3</v>
      </c>
      <c r="T84">
        <v>7.0302291999999999E-3</v>
      </c>
      <c r="U84">
        <v>1.5787867000000001E-2</v>
      </c>
      <c r="V84">
        <v>1.4979007000000001E-2</v>
      </c>
      <c r="W84">
        <v>7.6693414000000001E-2</v>
      </c>
      <c r="X84">
        <v>0.14662882999999999</v>
      </c>
      <c r="Y84">
        <v>0.24031747000000001</v>
      </c>
      <c r="Z84">
        <v>0.16485788000000001</v>
      </c>
      <c r="AA84">
        <v>0.10245625</v>
      </c>
      <c r="AB84">
        <v>3.2935931000000001E-3</v>
      </c>
      <c r="AC84">
        <v>0.47128530000000002</v>
      </c>
      <c r="AD84">
        <v>7.7256434000000001E-3</v>
      </c>
      <c r="AE84">
        <v>6.7161464000000002E-3</v>
      </c>
      <c r="AF84">
        <v>8.0284833999999996E-3</v>
      </c>
      <c r="AG84">
        <v>1.3046371999999999</v>
      </c>
      <c r="AH84">
        <v>1.0870731000000001E-3</v>
      </c>
      <c r="AI84">
        <v>5.4239202E-2</v>
      </c>
      <c r="AJ84">
        <v>3.5793448999999998E-2</v>
      </c>
      <c r="AK84">
        <v>0.10565600999999999</v>
      </c>
      <c r="AL84">
        <v>1.5736198999999999E-2</v>
      </c>
      <c r="AM84">
        <v>2.7771138000000002E-3</v>
      </c>
      <c r="AN84">
        <v>2.0385782000000002E-3</v>
      </c>
      <c r="AO84">
        <v>0</v>
      </c>
      <c r="AP84">
        <v>4.2449148999999999E-2</v>
      </c>
      <c r="AQ84">
        <v>3.8562204000000003E-2</v>
      </c>
      <c r="AR84">
        <v>9.6460428000000008E-3</v>
      </c>
      <c r="AS84">
        <v>9.2010776999999992E-3</v>
      </c>
      <c r="AT84">
        <v>1.2995932999999999E-2</v>
      </c>
      <c r="AU84">
        <v>4.3515845000000001E-3</v>
      </c>
      <c r="AV84">
        <v>6.0454291000000002E-3</v>
      </c>
      <c r="AW84">
        <v>4.7972581E-3</v>
      </c>
      <c r="AX84">
        <v>4.0870871000000001E-3</v>
      </c>
      <c r="AY84">
        <v>1.7240695E-2</v>
      </c>
      <c r="AZ84">
        <v>0</v>
      </c>
      <c r="BA84">
        <v>275.25369999999998</v>
      </c>
      <c r="BB84">
        <v>260.40759000000003</v>
      </c>
    </row>
    <row r="85" spans="1:54" x14ac:dyDescent="0.2">
      <c r="A85" t="s">
        <v>148</v>
      </c>
      <c r="B85" t="s">
        <v>138</v>
      </c>
      <c r="C85">
        <v>7.6865972000000005E-2</v>
      </c>
      <c r="D85">
        <v>8.4623237999999993E-3</v>
      </c>
      <c r="E85">
        <v>5.0117863999999998E-2</v>
      </c>
      <c r="F85">
        <v>4.1916816000000003E-2</v>
      </c>
      <c r="G85">
        <v>2.9919761E-2</v>
      </c>
      <c r="H85">
        <v>5.3174169999999996E-3</v>
      </c>
      <c r="I85">
        <v>4.7148200000000001E-2</v>
      </c>
      <c r="J85">
        <v>6.9362928000000004E-2</v>
      </c>
      <c r="K85">
        <v>7.6959929999999999E-3</v>
      </c>
      <c r="L85">
        <v>1.6221121000000002E-2</v>
      </c>
      <c r="M85">
        <v>4.7026628000000001E-3</v>
      </c>
      <c r="N85">
        <v>2.9699971999999999E-3</v>
      </c>
      <c r="O85">
        <v>2.3600861E-3</v>
      </c>
      <c r="P85">
        <v>1.1362058E-2</v>
      </c>
      <c r="Q85">
        <v>4.5269348999999999E-4</v>
      </c>
      <c r="R85">
        <v>1.8859216E-3</v>
      </c>
      <c r="S85">
        <v>1.4516897E-3</v>
      </c>
      <c r="T85">
        <v>1.8551456000000001E-3</v>
      </c>
      <c r="U85">
        <v>1.3751246E-2</v>
      </c>
      <c r="V85">
        <v>5.1312338000000001E-3</v>
      </c>
      <c r="W85">
        <v>7.6808904999999997E-2</v>
      </c>
      <c r="X85">
        <v>1.2658167999999999E-2</v>
      </c>
      <c r="Y85">
        <v>0.12147204</v>
      </c>
      <c r="Z85">
        <v>7.5882994999999995E-2</v>
      </c>
      <c r="AA85">
        <v>0.12198937</v>
      </c>
      <c r="AB85">
        <v>6.9171466000000001E-3</v>
      </c>
      <c r="AC85">
        <v>0.20743622</v>
      </c>
      <c r="AD85">
        <v>5.2994440000000004E-3</v>
      </c>
      <c r="AE85">
        <v>2.7805281E-3</v>
      </c>
      <c r="AF85">
        <v>5.0009564999999997E-3</v>
      </c>
      <c r="AG85">
        <v>5.7661379999999998E-2</v>
      </c>
      <c r="AH85">
        <v>2.1638244000000001E-3</v>
      </c>
      <c r="AI85">
        <v>2.2934779999999998E-2</v>
      </c>
      <c r="AJ85">
        <v>1.1341381000000001E-3</v>
      </c>
      <c r="AK85">
        <v>1.2763378000000001E-3</v>
      </c>
      <c r="AL85">
        <v>5.9060533999999996E-4</v>
      </c>
      <c r="AM85">
        <v>1.3186376999999999E-3</v>
      </c>
      <c r="AN85">
        <v>2.4264893000000001E-3</v>
      </c>
      <c r="AO85">
        <v>0</v>
      </c>
      <c r="AP85">
        <v>2.7083163000000002E-3</v>
      </c>
      <c r="AQ85">
        <v>3.8618146000000001E-3</v>
      </c>
      <c r="AR85">
        <v>2.7798820999999998E-4</v>
      </c>
      <c r="AS85">
        <v>2.0008786E-4</v>
      </c>
      <c r="AT85">
        <v>3.2246944000000001E-4</v>
      </c>
      <c r="AU85">
        <v>2.2004091000000001E-4</v>
      </c>
      <c r="AV85">
        <v>2.8609076000000002E-4</v>
      </c>
      <c r="AW85">
        <v>2.4847553000000001E-4</v>
      </c>
      <c r="AX85">
        <v>2.6386657000000002E-4</v>
      </c>
      <c r="AY85">
        <v>6.1363436999999996E-3</v>
      </c>
      <c r="AZ85">
        <v>0</v>
      </c>
      <c r="BA85">
        <v>54.436644999999999</v>
      </c>
      <c r="BB85">
        <v>51.441679000000001</v>
      </c>
    </row>
    <row r="87" spans="1:54" ht="16" x14ac:dyDescent="0.2">
      <c r="A87" s="5" t="s">
        <v>364</v>
      </c>
      <c r="B87" t="s">
        <v>496</v>
      </c>
      <c r="C87" t="s">
        <v>154</v>
      </c>
      <c r="D87" t="s">
        <v>155</v>
      </c>
      <c r="E87" t="s">
        <v>156</v>
      </c>
      <c r="F87" t="s">
        <v>498</v>
      </c>
      <c r="G87" t="s">
        <v>158</v>
      </c>
      <c r="H87" t="s">
        <v>159</v>
      </c>
      <c r="I87" t="s">
        <v>160</v>
      </c>
      <c r="J87" t="s">
        <v>161</v>
      </c>
      <c r="K87" t="s">
        <v>162</v>
      </c>
      <c r="L87" t="s">
        <v>163</v>
      </c>
      <c r="M87" t="s">
        <v>164</v>
      </c>
      <c r="N87" t="s">
        <v>165</v>
      </c>
      <c r="O87" t="s">
        <v>166</v>
      </c>
      <c r="P87" t="s">
        <v>167</v>
      </c>
      <c r="Q87" t="s">
        <v>168</v>
      </c>
      <c r="R87" t="s">
        <v>169</v>
      </c>
      <c r="S87" t="s">
        <v>170</v>
      </c>
      <c r="T87" t="s">
        <v>171</v>
      </c>
      <c r="U87" t="s">
        <v>172</v>
      </c>
      <c r="V87" t="s">
        <v>173</v>
      </c>
      <c r="W87" t="s">
        <v>174</v>
      </c>
      <c r="X87" t="s">
        <v>175</v>
      </c>
      <c r="Y87" t="s">
        <v>176</v>
      </c>
      <c r="Z87" t="s">
        <v>177</v>
      </c>
      <c r="AA87" t="s">
        <v>178</v>
      </c>
      <c r="AB87" t="s">
        <v>179</v>
      </c>
      <c r="AC87" t="s">
        <v>180</v>
      </c>
      <c r="AD87" t="s">
        <v>181</v>
      </c>
      <c r="AE87" t="s">
        <v>182</v>
      </c>
      <c r="AF87" t="s">
        <v>183</v>
      </c>
      <c r="AG87" t="s">
        <v>184</v>
      </c>
      <c r="AH87" t="s">
        <v>234</v>
      </c>
      <c r="AI87" t="s">
        <v>233</v>
      </c>
      <c r="AJ87" t="s">
        <v>217</v>
      </c>
      <c r="AK87" t="s">
        <v>216</v>
      </c>
      <c r="AL87" t="s">
        <v>185</v>
      </c>
      <c r="AM87" t="s">
        <v>186</v>
      </c>
      <c r="AN87" t="s">
        <v>187</v>
      </c>
      <c r="AO87" t="s">
        <v>188</v>
      </c>
      <c r="AP87" t="s">
        <v>189</v>
      </c>
      <c r="AQ87" t="s">
        <v>190</v>
      </c>
      <c r="AR87" t="s">
        <v>215</v>
      </c>
      <c r="AS87" t="s">
        <v>214</v>
      </c>
      <c r="AT87" t="s">
        <v>218</v>
      </c>
      <c r="AU87" t="s">
        <v>222</v>
      </c>
      <c r="AV87" t="s">
        <v>221</v>
      </c>
      <c r="AW87" t="s">
        <v>219</v>
      </c>
      <c r="AX87" t="s">
        <v>220</v>
      </c>
      <c r="AY87" t="s">
        <v>191</v>
      </c>
      <c r="AZ87" t="s">
        <v>192</v>
      </c>
      <c r="BA87" t="s">
        <v>653</v>
      </c>
      <c r="BB87" t="s">
        <v>656</v>
      </c>
    </row>
    <row r="88" spans="1:54" ht="131" customHeight="1" x14ac:dyDescent="0.2">
      <c r="A88" s="5" t="s">
        <v>363</v>
      </c>
      <c r="C88" s="23" t="s">
        <v>298</v>
      </c>
      <c r="D88" s="23" t="s">
        <v>299</v>
      </c>
      <c r="E88" s="23" t="s">
        <v>300</v>
      </c>
      <c r="F88" s="23" t="s">
        <v>301</v>
      </c>
      <c r="G88" s="23" t="s">
        <v>302</v>
      </c>
      <c r="H88" s="23" t="s">
        <v>303</v>
      </c>
      <c r="I88" s="23" t="s">
        <v>304</v>
      </c>
      <c r="J88" s="23" t="s">
        <v>305</v>
      </c>
      <c r="K88" s="23" t="s">
        <v>306</v>
      </c>
      <c r="L88" s="23" t="s">
        <v>307</v>
      </c>
      <c r="M88" s="23" t="s">
        <v>308</v>
      </c>
      <c r="N88" s="23" t="s">
        <v>309</v>
      </c>
      <c r="O88" s="23" t="s">
        <v>310</v>
      </c>
      <c r="P88" s="23" t="s">
        <v>311</v>
      </c>
      <c r="Q88" s="23" t="s">
        <v>312</v>
      </c>
      <c r="R88" s="23" t="s">
        <v>313</v>
      </c>
      <c r="S88" s="23" t="s">
        <v>314</v>
      </c>
      <c r="T88" s="23" t="s">
        <v>315</v>
      </c>
      <c r="U88" s="23" t="s">
        <v>316</v>
      </c>
      <c r="V88" s="23" t="s">
        <v>317</v>
      </c>
      <c r="W88" s="23" t="s">
        <v>318</v>
      </c>
      <c r="X88" s="23" t="s">
        <v>319</v>
      </c>
      <c r="Y88" s="23" t="s">
        <v>320</v>
      </c>
      <c r="Z88" s="23" t="s">
        <v>321</v>
      </c>
      <c r="AA88" s="23" t="s">
        <v>322</v>
      </c>
      <c r="AB88" s="23" t="s">
        <v>323</v>
      </c>
      <c r="AC88" s="23" t="s">
        <v>324</v>
      </c>
      <c r="AD88" s="23" t="s">
        <v>325</v>
      </c>
      <c r="AE88" s="23" t="s">
        <v>326</v>
      </c>
      <c r="AF88" s="23" t="s">
        <v>327</v>
      </c>
      <c r="AG88" s="23" t="s">
        <v>328</v>
      </c>
      <c r="AH88" s="23" t="s">
        <v>329</v>
      </c>
      <c r="AI88" s="23" t="s">
        <v>330</v>
      </c>
      <c r="AJ88" s="23" t="s">
        <v>331</v>
      </c>
      <c r="AK88" s="23" t="s">
        <v>332</v>
      </c>
      <c r="AL88" s="23" t="s">
        <v>333</v>
      </c>
      <c r="AM88" s="23" t="s">
        <v>334</v>
      </c>
      <c r="AN88" s="23" t="s">
        <v>335</v>
      </c>
      <c r="AO88" s="23" t="s">
        <v>336</v>
      </c>
      <c r="AP88" s="23" t="s">
        <v>337</v>
      </c>
      <c r="AQ88" s="23" t="s">
        <v>338</v>
      </c>
      <c r="AR88" s="23" t="s">
        <v>339</v>
      </c>
      <c r="AS88" s="23" t="s">
        <v>340</v>
      </c>
      <c r="AT88" s="23" t="s">
        <v>341</v>
      </c>
      <c r="AU88" s="23" t="s">
        <v>342</v>
      </c>
      <c r="AV88" s="23" t="s">
        <v>343</v>
      </c>
      <c r="AW88" s="23" t="s">
        <v>344</v>
      </c>
      <c r="AX88" s="23" t="s">
        <v>345</v>
      </c>
      <c r="AY88" s="23" t="s">
        <v>346</v>
      </c>
      <c r="AZ88" s="23" t="s">
        <v>347</v>
      </c>
      <c r="BA88" s="5" t="s">
        <v>654</v>
      </c>
      <c r="BB88" s="5" t="s">
        <v>655</v>
      </c>
    </row>
    <row r="91" spans="1:54" ht="64" x14ac:dyDescent="0.2">
      <c r="A91" s="5" t="s">
        <v>659</v>
      </c>
      <c r="C91" s="48">
        <f>(CExD!C66-C75)/CExD_edit!C75</f>
        <v>4.3588293619472745E-8</v>
      </c>
      <c r="D91" s="48">
        <f>(CExD!D66-D75)/CExD_edit!D75</f>
        <v>-5.4706110928877894E-9</v>
      </c>
      <c r="E91" s="48">
        <f>(CExD!E66-E75)/CExD_edit!E75</f>
        <v>3.0669719420701799E-8</v>
      </c>
      <c r="F91" s="48">
        <f>(CExD!F66-F75)/CExD_edit!F75</f>
        <v>-1.1765037181391121E-8</v>
      </c>
      <c r="G91" s="48">
        <f>(CExD!G66-G75)/CExD_edit!G75</f>
        <v>-3.9171545955873272E-8</v>
      </c>
      <c r="H91" s="48">
        <f>(CExD!H66-H75)/CExD_edit!H75</f>
        <v>7.3942294796231611E-9</v>
      </c>
      <c r="I91" s="48">
        <f>(CExD!I66-I75)/CExD_edit!I75</f>
        <v>6.6577252164242129E-9</v>
      </c>
      <c r="J91" s="48">
        <f>(CExD!J66-J75)/CExD_edit!J75</f>
        <v>-3.7471952500716126E-8</v>
      </c>
      <c r="K91" s="48">
        <f>(CExD!K66-K75)/CExD_edit!K75</f>
        <v>3.8302879571660683E-8</v>
      </c>
      <c r="L91" s="48">
        <f>(CExD!L66-L75)/CExD_edit!L75</f>
        <v>-9.5708749288933013E-9</v>
      </c>
      <c r="M91" s="48">
        <f>(CExD!M66-M75)/CExD_edit!M75</f>
        <v>8.4145221989435045E-9</v>
      </c>
      <c r="N91" s="48">
        <f>(CExD!N66-N75)/CExD_edit!N75</f>
        <v>-6.6071189959032812E-9</v>
      </c>
      <c r="O91" s="48">
        <f>(CExD!O66-O75)/CExD_edit!O75</f>
        <v>-3.8857178342063296E-10</v>
      </c>
      <c r="P91" s="48">
        <f>(CExD!P66-P75)/CExD_edit!P75</f>
        <v>-9.7368462513268601E-9</v>
      </c>
      <c r="Q91" s="48">
        <f>(CExD!Q66-Q75)/CExD_edit!Q75</f>
        <v>2.3712137562467221E-8</v>
      </c>
      <c r="R91" s="48">
        <f>(CExD!R66-R75)/CExD_edit!R75</f>
        <v>1.8388888646168935E-8</v>
      </c>
      <c r="S91" s="48">
        <f>(CExD!S66-S75)/CExD_edit!S75</f>
        <v>-1.4270422029419218E-8</v>
      </c>
      <c r="T91" s="48">
        <f>(CExD!T66-T75)/CExD_edit!T75</f>
        <v>2.5985202596926388E-8</v>
      </c>
      <c r="U91" s="48">
        <f>(CExD!U66-U75)/CExD_edit!U75</f>
        <v>-9.5994780848747352E-9</v>
      </c>
      <c r="V91" s="48">
        <f>(CExD!V66-V75)/CExD_edit!V75</f>
        <v>-3.7821578089392278E-9</v>
      </c>
      <c r="W91" s="48">
        <f>(CExD!W66-W75)/CExD_edit!W75</f>
        <v>-1.127830056700496E-8</v>
      </c>
      <c r="X91" s="48">
        <f>(CExD!X66-X75)/CExD_edit!X75</f>
        <v>7.8484390567417821E-9</v>
      </c>
      <c r="Y91" s="48">
        <f>(CExD!Y66-Y75)/CExD_edit!Y75</f>
        <v>3.012892103911431E-10</v>
      </c>
      <c r="Z91" s="48">
        <f>(CExD!Z66-Z75)/CExD_edit!Z75</f>
        <v>1.4517198607112761E-8</v>
      </c>
      <c r="AA91" s="48">
        <f>(CExD!AA66-AA75)/CExD_edit!AA75</f>
        <v>-2.1533668202967915E-9</v>
      </c>
      <c r="AB91" s="48">
        <f>(CExD!AB66-AB75)/CExD_edit!AB75</f>
        <v>-8.8228763408477214E-9</v>
      </c>
      <c r="AC91" s="48">
        <f>(CExD!AC66-AC75)/CExD_edit!AC75</f>
        <v>1.5406727984450579E-8</v>
      </c>
      <c r="AD91" s="48">
        <f>(CExD!AD66-AD75)/CExD_edit!AD75</f>
        <v>-5.3232482445497041E-9</v>
      </c>
      <c r="AE91" s="48">
        <f>(CExD!AE66-AE75)/CExD_edit!AE75</f>
        <v>8.9939318988316537E-10</v>
      </c>
      <c r="AF91" s="48">
        <f>(CExD!AF66-AF75)/CExD_edit!AF75</f>
        <v>3.0518751194747285E-9</v>
      </c>
      <c r="AG91" s="48">
        <f>(CExD!AG66-AG75)/CExD_edit!AG75</f>
        <v>2.920753973929708E-9</v>
      </c>
      <c r="AH91" s="48">
        <f>(CExD!AH66-AH75)/CExD_edit!AH75</f>
        <v>-3.5881740849452761E-9</v>
      </c>
      <c r="AI91" s="48">
        <f>(CExD!AI66-AI75)/CExD_edit!AI75</f>
        <v>1.8034926861214984E-8</v>
      </c>
      <c r="AJ91" s="48">
        <f>(CExD!AJ66-AJ75)/CExD_edit!AJ75</f>
        <v>-1.6236117048963965E-3</v>
      </c>
      <c r="AK91" s="48">
        <f>(CExD!AK66-AK75)/CExD_edit!AK75</f>
        <v>-1.4419358090131348E-3</v>
      </c>
      <c r="AL91" s="48">
        <f>(CExD!AL66-AL75)/CExD_edit!AL75</f>
        <v>3.1702785018949381E-2</v>
      </c>
      <c r="AM91" s="48">
        <f>(CExD!AM66-AM75)/CExD_edit!AM75</f>
        <v>-3.4149138868813739E-8</v>
      </c>
      <c r="AN91" s="48">
        <f>(CExD!AN66-AN75)/CExD_edit!AN75</f>
        <v>9.5145550600387689E-9</v>
      </c>
      <c r="AO91" s="48" t="e">
        <f>(CExD!AO66-AO75)/CExD_edit!AO75</f>
        <v>#DIV/0!</v>
      </c>
      <c r="AP91" s="48">
        <f>(CExD!AP66-AP75)/CExD_edit!AP75</f>
        <v>-3.7121845531245902E-8</v>
      </c>
      <c r="AQ91" s="48">
        <f>(CExD!AQ66-AQ75)/CExD_edit!AQ75</f>
        <v>9.0154865066735802E-9</v>
      </c>
      <c r="AR91" s="48">
        <f>(CExD!AR66-AR75)/CExD_edit!AR75</f>
        <v>0.36754385955485669</v>
      </c>
      <c r="AS91" s="48">
        <f>(CExD!AS66-AS75)/CExD_edit!AS75</f>
        <v>0.38277878888316247</v>
      </c>
      <c r="AT91" s="48">
        <f>(CExD!AT66-AT75)/CExD_edit!AT75</f>
        <v>0.22437399660097462</v>
      </c>
      <c r="AU91" s="48">
        <f>(CExD!AU66-AU75)/CExD_edit!AU75</f>
        <v>-8.2993112633565329E-10</v>
      </c>
      <c r="AV91" s="48">
        <f>(CExD!AV66-AV75)/CExD_edit!AV75</f>
        <v>4.7609915648747799E-8</v>
      </c>
      <c r="AW91" s="48">
        <f>(CExD!AW66-AW75)/CExD_edit!AW75</f>
        <v>-3.0330754648133835E-9</v>
      </c>
      <c r="AX91" s="48">
        <f>(CExD!AX66-AX75)/CExD_edit!AX75</f>
        <v>5.1897580793729828E-9</v>
      </c>
      <c r="AY91" s="48">
        <f>(CExD!AY66-AY75)/CExD_edit!AY75</f>
        <v>-1.0993992521637802E-8</v>
      </c>
      <c r="AZ91" s="48" t="e">
        <f>(CExD!AZ66-AZ75)/CExD_edit!AZ75</f>
        <v>#DIV/0!</v>
      </c>
      <c r="BA91" s="48">
        <f>(CExD!BA66-BA75)/CExD_edit!BA75</f>
        <v>0</v>
      </c>
      <c r="BB91" s="48">
        <f>(CExD!BB66-BB75)/CExD_edit!BB75</f>
        <v>0</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122C-1270-D04C-B28F-4A71E395F6D5}">
  <dimension ref="A2:BB79"/>
  <sheetViews>
    <sheetView topLeftCell="A65" zoomScaleNormal="100" workbookViewId="0">
      <pane xSplit="2" topLeftCell="AJ1" activePane="topRight" state="frozen"/>
      <selection activeCell="R54" sqref="R54"/>
      <selection pane="topRight" activeCell="AM77" sqref="AM77"/>
    </sheetView>
  </sheetViews>
  <sheetFormatPr baseColWidth="10" defaultColWidth="10.83203125" defaultRowHeight="15" x14ac:dyDescent="0.2"/>
  <cols>
    <col min="1" max="1" width="33.6640625" customWidth="1"/>
    <col min="2" max="2" width="42.83203125" customWidth="1"/>
  </cols>
  <sheetData>
    <row r="2" spans="1:2" x14ac:dyDescent="0.2">
      <c r="A2" t="s">
        <v>0</v>
      </c>
      <c r="B2" t="s">
        <v>1</v>
      </c>
    </row>
    <row r="3" spans="1:2" x14ac:dyDescent="0.2">
      <c r="A3" t="s">
        <v>2</v>
      </c>
      <c r="B3" t="s">
        <v>3</v>
      </c>
    </row>
    <row r="4" spans="1:2" x14ac:dyDescent="0.2">
      <c r="A4" t="s">
        <v>4</v>
      </c>
      <c r="B4" t="s">
        <v>365</v>
      </c>
    </row>
    <row r="5" spans="1:2" x14ac:dyDescent="0.2">
      <c r="A5" t="s">
        <v>5</v>
      </c>
      <c r="B5" t="s">
        <v>366</v>
      </c>
    </row>
    <row r="6" spans="1:2" x14ac:dyDescent="0.2">
      <c r="A6" t="s">
        <v>6</v>
      </c>
      <c r="B6" t="s">
        <v>367</v>
      </c>
    </row>
    <row r="7" spans="1:2" x14ac:dyDescent="0.2">
      <c r="A7" t="s">
        <v>7</v>
      </c>
      <c r="B7" t="s">
        <v>368</v>
      </c>
    </row>
    <row r="8" spans="1:2" x14ac:dyDescent="0.2">
      <c r="A8" t="s">
        <v>8</v>
      </c>
      <c r="B8" t="s">
        <v>9</v>
      </c>
    </row>
    <row r="9" spans="1:2" x14ac:dyDescent="0.2">
      <c r="A9" t="s">
        <v>10</v>
      </c>
      <c r="B9" t="s">
        <v>225</v>
      </c>
    </row>
    <row r="10" spans="1:2" x14ac:dyDescent="0.2">
      <c r="A10" t="s">
        <v>11</v>
      </c>
      <c r="B10" t="s">
        <v>12</v>
      </c>
    </row>
    <row r="11" spans="1:2" x14ac:dyDescent="0.2">
      <c r="A11" t="s">
        <v>13</v>
      </c>
      <c r="B11" t="s">
        <v>14</v>
      </c>
    </row>
    <row r="12" spans="1:2" x14ac:dyDescent="0.2">
      <c r="A12" t="s">
        <v>15</v>
      </c>
      <c r="B12" t="s">
        <v>16</v>
      </c>
    </row>
    <row r="13" spans="1:2" x14ac:dyDescent="0.2">
      <c r="A13" t="s">
        <v>17</v>
      </c>
      <c r="B13" t="s">
        <v>369</v>
      </c>
    </row>
    <row r="14" spans="1:2" x14ac:dyDescent="0.2">
      <c r="A14" t="s">
        <v>18</v>
      </c>
      <c r="B14" t="s">
        <v>370</v>
      </c>
    </row>
    <row r="15" spans="1:2" x14ac:dyDescent="0.2">
      <c r="A15" t="s">
        <v>19</v>
      </c>
      <c r="B15" t="s">
        <v>371</v>
      </c>
    </row>
    <row r="16" spans="1:2" x14ac:dyDescent="0.2">
      <c r="A16" t="s">
        <v>20</v>
      </c>
      <c r="B16" t="s">
        <v>372</v>
      </c>
    </row>
    <row r="17" spans="1:2" x14ac:dyDescent="0.2">
      <c r="A17" t="s">
        <v>21</v>
      </c>
      <c r="B17" t="s">
        <v>373</v>
      </c>
    </row>
    <row r="18" spans="1:2" x14ac:dyDescent="0.2">
      <c r="A18" t="s">
        <v>22</v>
      </c>
      <c r="B18" t="s">
        <v>374</v>
      </c>
    </row>
    <row r="19" spans="1:2" x14ac:dyDescent="0.2">
      <c r="A19" t="s">
        <v>23</v>
      </c>
      <c r="B19" t="s">
        <v>375</v>
      </c>
    </row>
    <row r="20" spans="1:2" x14ac:dyDescent="0.2">
      <c r="A20" t="s">
        <v>24</v>
      </c>
      <c r="B20" t="s">
        <v>376</v>
      </c>
    </row>
    <row r="21" spans="1:2" x14ac:dyDescent="0.2">
      <c r="A21" t="s">
        <v>25</v>
      </c>
      <c r="B21" t="s">
        <v>377</v>
      </c>
    </row>
    <row r="22" spans="1:2" x14ac:dyDescent="0.2">
      <c r="A22" t="s">
        <v>26</v>
      </c>
      <c r="B22" t="s">
        <v>378</v>
      </c>
    </row>
    <row r="23" spans="1:2" x14ac:dyDescent="0.2">
      <c r="A23" t="s">
        <v>27</v>
      </c>
      <c r="B23" t="s">
        <v>28</v>
      </c>
    </row>
    <row r="24" spans="1:2" x14ac:dyDescent="0.2">
      <c r="A24" t="s">
        <v>29</v>
      </c>
      <c r="B24" t="s">
        <v>30</v>
      </c>
    </row>
    <row r="25" spans="1:2" x14ac:dyDescent="0.2">
      <c r="A25" t="s">
        <v>31</v>
      </c>
      <c r="B25" t="s">
        <v>32</v>
      </c>
    </row>
    <row r="26" spans="1:2" x14ac:dyDescent="0.2">
      <c r="A26" t="s">
        <v>33</v>
      </c>
      <c r="B26" t="s">
        <v>379</v>
      </c>
    </row>
    <row r="27" spans="1:2" x14ac:dyDescent="0.2">
      <c r="A27" t="s">
        <v>34</v>
      </c>
      <c r="B27" t="s">
        <v>35</v>
      </c>
    </row>
    <row r="28" spans="1:2" x14ac:dyDescent="0.2">
      <c r="A28" t="s">
        <v>36</v>
      </c>
      <c r="B28" t="s">
        <v>380</v>
      </c>
    </row>
    <row r="29" spans="1:2" x14ac:dyDescent="0.2">
      <c r="A29" t="s">
        <v>37</v>
      </c>
      <c r="B29" t="s">
        <v>38</v>
      </c>
    </row>
    <row r="30" spans="1:2" x14ac:dyDescent="0.2">
      <c r="A30" t="s">
        <v>39</v>
      </c>
      <c r="B30" t="s">
        <v>40</v>
      </c>
    </row>
    <row r="31" spans="1:2" x14ac:dyDescent="0.2">
      <c r="A31" t="s">
        <v>41</v>
      </c>
      <c r="B31" t="s">
        <v>42</v>
      </c>
    </row>
    <row r="32" spans="1:2" x14ac:dyDescent="0.2">
      <c r="A32" t="s">
        <v>43</v>
      </c>
      <c r="B32" t="s">
        <v>381</v>
      </c>
    </row>
    <row r="33" spans="1:2" x14ac:dyDescent="0.2">
      <c r="A33" t="s">
        <v>44</v>
      </c>
      <c r="B33" t="s">
        <v>45</v>
      </c>
    </row>
    <row r="34" spans="1:2" x14ac:dyDescent="0.2">
      <c r="A34" t="s">
        <v>46</v>
      </c>
      <c r="B34" t="s">
        <v>382</v>
      </c>
    </row>
    <row r="35" spans="1:2" x14ac:dyDescent="0.2">
      <c r="A35" t="s">
        <v>47</v>
      </c>
      <c r="B35" t="s">
        <v>48</v>
      </c>
    </row>
    <row r="36" spans="1:2" x14ac:dyDescent="0.2">
      <c r="A36" t="s">
        <v>49</v>
      </c>
      <c r="B36" t="s">
        <v>239</v>
      </c>
    </row>
    <row r="37" spans="1:2" x14ac:dyDescent="0.2">
      <c r="A37" t="s">
        <v>50</v>
      </c>
      <c r="B37" t="s">
        <v>383</v>
      </c>
    </row>
    <row r="38" spans="1:2" x14ac:dyDescent="0.2">
      <c r="A38" t="s">
        <v>51</v>
      </c>
      <c r="B38" t="s">
        <v>384</v>
      </c>
    </row>
    <row r="39" spans="1:2" x14ac:dyDescent="0.2">
      <c r="A39" t="s">
        <v>53</v>
      </c>
      <c r="B39" t="s">
        <v>52</v>
      </c>
    </row>
    <row r="40" spans="1:2" x14ac:dyDescent="0.2">
      <c r="A40" t="s">
        <v>55</v>
      </c>
      <c r="B40" t="s">
        <v>54</v>
      </c>
    </row>
    <row r="41" spans="1:2" x14ac:dyDescent="0.2">
      <c r="A41" t="s">
        <v>57</v>
      </c>
      <c r="B41" t="s">
        <v>56</v>
      </c>
    </row>
    <row r="42" spans="1:2" x14ac:dyDescent="0.2">
      <c r="A42" t="s">
        <v>59</v>
      </c>
      <c r="B42" t="s">
        <v>58</v>
      </c>
    </row>
    <row r="43" spans="1:2" x14ac:dyDescent="0.2">
      <c r="A43" t="s">
        <v>60</v>
      </c>
      <c r="B43" t="s">
        <v>240</v>
      </c>
    </row>
    <row r="44" spans="1:2" x14ac:dyDescent="0.2">
      <c r="A44" t="s">
        <v>61</v>
      </c>
      <c r="B44" t="s">
        <v>226</v>
      </c>
    </row>
    <row r="45" spans="1:2" x14ac:dyDescent="0.2">
      <c r="A45" t="s">
        <v>63</v>
      </c>
      <c r="B45" t="s">
        <v>62</v>
      </c>
    </row>
    <row r="46" spans="1:2" x14ac:dyDescent="0.2">
      <c r="A46" t="s">
        <v>65</v>
      </c>
      <c r="B46" t="s">
        <v>64</v>
      </c>
    </row>
    <row r="47" spans="1:2" x14ac:dyDescent="0.2">
      <c r="A47" t="s">
        <v>67</v>
      </c>
      <c r="B47" t="s">
        <v>66</v>
      </c>
    </row>
    <row r="48" spans="1:2" x14ac:dyDescent="0.2">
      <c r="A48" t="s">
        <v>68</v>
      </c>
      <c r="B48" t="s">
        <v>385</v>
      </c>
    </row>
    <row r="49" spans="1:2" x14ac:dyDescent="0.2">
      <c r="A49" t="s">
        <v>69</v>
      </c>
      <c r="B49" t="s">
        <v>386</v>
      </c>
    </row>
    <row r="50" spans="1:2" x14ac:dyDescent="0.2">
      <c r="A50" t="s">
        <v>70</v>
      </c>
      <c r="B50" t="s">
        <v>387</v>
      </c>
    </row>
    <row r="51" spans="1:2" x14ac:dyDescent="0.2">
      <c r="A51" t="s">
        <v>71</v>
      </c>
      <c r="B51" t="s">
        <v>388</v>
      </c>
    </row>
    <row r="52" spans="1:2" x14ac:dyDescent="0.2">
      <c r="A52" t="s">
        <v>73</v>
      </c>
      <c r="B52" t="s">
        <v>72</v>
      </c>
    </row>
    <row r="53" spans="1:2" x14ac:dyDescent="0.2">
      <c r="A53" t="s">
        <v>227</v>
      </c>
      <c r="B53" t="s">
        <v>74</v>
      </c>
    </row>
    <row r="54" spans="1:2" x14ac:dyDescent="0.2">
      <c r="A54" t="s">
        <v>648</v>
      </c>
      <c r="B54" t="s">
        <v>649</v>
      </c>
    </row>
    <row r="55" spans="1:2" x14ac:dyDescent="0.2">
      <c r="A55" t="s">
        <v>650</v>
      </c>
      <c r="B55" t="s">
        <v>651</v>
      </c>
    </row>
    <row r="56" spans="1:2" x14ac:dyDescent="0.2">
      <c r="A56" t="s">
        <v>75</v>
      </c>
      <c r="B56" t="s">
        <v>149</v>
      </c>
    </row>
    <row r="57" spans="1:2" x14ac:dyDescent="0.2">
      <c r="A57" t="s">
        <v>77</v>
      </c>
      <c r="B57" t="s">
        <v>78</v>
      </c>
    </row>
    <row r="58" spans="1:2" x14ac:dyDescent="0.2">
      <c r="A58" t="s">
        <v>79</v>
      </c>
      <c r="B58" t="s">
        <v>228</v>
      </c>
    </row>
    <row r="59" spans="1:2" x14ac:dyDescent="0.2">
      <c r="A59" t="s">
        <v>81</v>
      </c>
      <c r="B59" t="s">
        <v>82</v>
      </c>
    </row>
    <row r="60" spans="1:2" x14ac:dyDescent="0.2">
      <c r="A60" t="s">
        <v>83</v>
      </c>
      <c r="B60" t="s">
        <v>84</v>
      </c>
    </row>
    <row r="61" spans="1:2" x14ac:dyDescent="0.2">
      <c r="A61" t="s">
        <v>85</v>
      </c>
      <c r="B61" t="s">
        <v>84</v>
      </c>
    </row>
    <row r="62" spans="1:2" x14ac:dyDescent="0.2">
      <c r="A62" t="s">
        <v>86</v>
      </c>
      <c r="B62" t="s">
        <v>87</v>
      </c>
    </row>
    <row r="63" spans="1:2" x14ac:dyDescent="0.2">
      <c r="A63" t="s">
        <v>88</v>
      </c>
      <c r="B63" t="s">
        <v>89</v>
      </c>
    </row>
    <row r="65" spans="1:54" s="5" customFormat="1" ht="192" x14ac:dyDescent="0.2">
      <c r="A65" s="5" t="s">
        <v>87</v>
      </c>
      <c r="B65" s="5" t="s">
        <v>90</v>
      </c>
      <c r="C65" s="5" t="s">
        <v>91</v>
      </c>
      <c r="D65" s="5" t="s">
        <v>92</v>
      </c>
      <c r="E65" s="5" t="s">
        <v>93</v>
      </c>
      <c r="F65" s="5" t="s">
        <v>94</v>
      </c>
      <c r="G65" s="5" t="s">
        <v>95</v>
      </c>
      <c r="H65" s="5" t="s">
        <v>229</v>
      </c>
      <c r="I65" s="5" t="s">
        <v>96</v>
      </c>
      <c r="J65" s="5" t="s">
        <v>97</v>
      </c>
      <c r="K65" s="5" t="s">
        <v>98</v>
      </c>
      <c r="L65" s="5" t="s">
        <v>99</v>
      </c>
      <c r="M65" s="5" t="s">
        <v>100</v>
      </c>
      <c r="N65" s="5" t="s">
        <v>101</v>
      </c>
      <c r="O65" s="5" t="s">
        <v>102</v>
      </c>
      <c r="P65" s="5" t="s">
        <v>103</v>
      </c>
      <c r="Q65" s="5" t="s">
        <v>104</v>
      </c>
      <c r="R65" s="5" t="s">
        <v>105</v>
      </c>
      <c r="S65" s="5" t="s">
        <v>106</v>
      </c>
      <c r="T65" s="5" t="s">
        <v>107</v>
      </c>
      <c r="U65" s="5" t="s">
        <v>108</v>
      </c>
      <c r="V65" s="5" t="s">
        <v>109</v>
      </c>
      <c r="W65" s="5" t="s">
        <v>110</v>
      </c>
      <c r="X65" s="5" t="s">
        <v>111</v>
      </c>
      <c r="Y65" s="5" t="s">
        <v>112</v>
      </c>
      <c r="Z65" s="5" t="s">
        <v>113</v>
      </c>
      <c r="AA65" s="5" t="s">
        <v>114</v>
      </c>
      <c r="AB65" s="5" t="s">
        <v>115</v>
      </c>
      <c r="AC65" s="5" t="s">
        <v>116</v>
      </c>
      <c r="AD65" s="5" t="s">
        <v>117</v>
      </c>
      <c r="AE65" s="5" t="s">
        <v>118</v>
      </c>
      <c r="AF65" s="5" t="s">
        <v>119</v>
      </c>
      <c r="AG65" s="5" t="s">
        <v>120</v>
      </c>
      <c r="AH65" s="5" t="s">
        <v>121</v>
      </c>
      <c r="AI65" s="5" t="s">
        <v>241</v>
      </c>
      <c r="AJ65" s="5" t="s">
        <v>122</v>
      </c>
      <c r="AK65" s="5" t="s">
        <v>123</v>
      </c>
      <c r="AL65" s="5" t="s">
        <v>124</v>
      </c>
      <c r="AM65" s="5" t="s">
        <v>125</v>
      </c>
      <c r="AN65" s="5" t="s">
        <v>126</v>
      </c>
      <c r="AO65" s="5" t="s">
        <v>127</v>
      </c>
      <c r="AP65" s="5" t="s">
        <v>242</v>
      </c>
      <c r="AQ65" s="5" t="s">
        <v>232</v>
      </c>
      <c r="AR65" s="5" t="s">
        <v>128</v>
      </c>
      <c r="AS65" s="5" t="s">
        <v>129</v>
      </c>
      <c r="AT65" s="5" t="s">
        <v>130</v>
      </c>
      <c r="AU65" s="5" t="s">
        <v>131</v>
      </c>
      <c r="AV65" s="5" t="s">
        <v>132</v>
      </c>
      <c r="AW65" s="5" t="s">
        <v>133</v>
      </c>
      <c r="AX65" s="5" t="s">
        <v>134</v>
      </c>
      <c r="AY65" s="5" t="s">
        <v>135</v>
      </c>
      <c r="AZ65" s="5" t="s">
        <v>136</v>
      </c>
    </row>
    <row r="66" spans="1:54" s="5" customFormat="1" ht="229" customHeight="1" x14ac:dyDescent="0.2">
      <c r="C66" s="5" t="str" cm="1">
        <f t="array" ref="C66:BB66">TRANSPOSE(B4:B55)</f>
        <v>1 kg light fuel oil, production US, at regional storage/kg/RER U (of project 000 primary energy factors various projects)</v>
      </c>
      <c r="D66" s="5" t="str">
        <v>1 kg light fuel oil, production SA, at regional storage/kg/RER U (of project 000 primary energy factors various projects)</v>
      </c>
      <c r="E66" s="5" t="str">
        <v>1 kg light fuel oil, production RU, at regional storage/kg/RER U (of project 000 primary energy factors various projects)</v>
      </c>
      <c r="F66" s="5" t="str">
        <v>1 kg light fuel oil, production CA, at regional storage/kg/RER U (of project 000 primary energy factors various projects)</v>
      </c>
      <c r="G66" s="5" t="str">
        <v>1 kg heavy fuel oil, at regional storage/kg/RER U (of project ESU database 2022 UVEK)</v>
      </c>
      <c r="H66" s="5" t="str">
        <v>1 m3 natural gas, production NO, at long-distance pipeline/m3/DE U (of project ESU database 2022 UVEK)</v>
      </c>
      <c r="I66" s="5" t="str">
        <v>1 m3 natural gas, production RU, at long-distance pipeline/m3/DE U (of project ESU database 2022 UVEK)</v>
      </c>
      <c r="J66" s="5" t="str">
        <v>1 m3 natural gas, liquefied, production US, at harbour/RER U (of project ESU database 2022 UVEK)</v>
      </c>
      <c r="K66" s="5" t="str">
        <v>1 m3 natural gas, liquefied, production QA, at harbour/RER U (of project ESU database 2022 UVEK)</v>
      </c>
      <c r="L66" s="5" t="str">
        <v>1 kg Hard coal, production RU, at regional storage/DE U (of project 000 primary energy factors various projects)</v>
      </c>
      <c r="M66" s="5" t="str">
        <v>1 kg Hard coal, production US, at regional storage/DE U (of project 000 primary energy factors various projects)</v>
      </c>
      <c r="N66" s="5" t="str">
        <v>1 kg Hard coal, production AU, at regional storage/DE U (of project 000 primary energy factors various projects)</v>
      </c>
      <c r="O66" s="5" t="str">
        <v>1 kg Hard coal, production CO, at regional storage/DE U (of project 000 primary energy factors various projects)</v>
      </c>
      <c r="P66" s="5" t="str">
        <v>1 kg Hard coal, production IN, at regional storage/DE U (of project 000 primary energy factors various projects)</v>
      </c>
      <c r="Q66" s="5" t="str">
        <v>1 kg lignite, production DE, at regional storage/DE U (of project 000 primary energy factors various projects)</v>
      </c>
      <c r="R66" s="5" t="str">
        <v>1 kg lignite, production PO, at regional storage/DE U (of project 000 primary energy factors various projects)</v>
      </c>
      <c r="S66" s="5" t="str">
        <v>1 kg lignite, production US, at regional storage/DE U (of project 000 primary energy factors various projects)</v>
      </c>
      <c r="T66" s="5" t="str">
        <v>1 kg lignite, production CN, at regional storage/DE U (of project 000 primary energy factors various projects)</v>
      </c>
      <c r="U66" s="5" t="str">
        <v>1 kg lignite, production RU, at regional storage/DE U (of project 000 primary energy factors various projects)</v>
      </c>
      <c r="V66" s="5" t="str">
        <v>1 m3 biogas, production mix, at storage/m3/CH U (of project ESU database 2022 UVEK)</v>
      </c>
      <c r="W66" s="5" t="str">
        <v>1 m3 biogas, from maize silage, co-digestion, at storage/m3/CH U (of project ESU database 2022 UVEK)</v>
      </c>
      <c r="X66" s="5" t="str">
        <v>1 m3 methane, 96 vol-%, from biogas, at purification/m3/CH U (of project ESU database 2022 UVEK)</v>
      </c>
      <c r="Y66" s="5" t="str">
        <v>1 m3 methane, 96 vol-%, from biogas, from maize silage, at purification/m3/RER U (of project 000 primary energy factors various projects)</v>
      </c>
      <c r="Z66" s="5" t="str">
        <v>1 kg Rape oil, at regional storage/CH U (of project ESU database 2022 UVEK)</v>
      </c>
      <c r="AA66" s="5" t="str">
        <v>1 kg palm oil, at regional storage/CH U (of project 000 primary energy factors various projects)</v>
      </c>
      <c r="AB66" s="5" t="str">
        <v>1 kg wood chips, production mix, wet, measured as dry mass, at forest road &amp; at sawmill/kg/RER (of project ESU database 2022 UVEK)</v>
      </c>
      <c r="AC66" s="5" t="str">
        <v>1 m3 Waste wood chips, mixed, from industry, u=40%, at plant/CH U (of project ESU database 2022 UVEK)</v>
      </c>
      <c r="AD66" s="5" t="str">
        <v>1 kg Wood chips, wet, measured as dry mass {CA-QC}| market for wood chips, wet, measured as dry mass | Cut-off, U (of project Ecoinvent 3 - allocation, cut-off by classification - unit)</v>
      </c>
      <c r="AE66" s="5" t="str">
        <v>1 kg wood pellet, from wastewood, measured as dry mass, at plant/kg/RER (of project 000 primary energy factors various projects)</v>
      </c>
      <c r="AF66" s="5" t="str">
        <v>1 kg wood pellet, measured as dry mass, at plant/kg/RER (of project ESU database 2022 UVEK)</v>
      </c>
      <c r="AG66" s="5" t="str">
        <v>1 kg Hydrogen, liquid, from water electrolysis, renewable electricity, at plant/DE U (of project 000 primary energy factors various projects)</v>
      </c>
      <c r="AH66" s="5" t="str">
        <v>1 kg Hydrogen, cracking, APME, at plant/RER U (of project ESU database 2022 UVEK)</v>
      </c>
      <c r="AI66" s="5" t="str">
        <v>1 kg Hydrogen, gaseous {Europe without Switzerland}| hydrogen production, gaseous, petroleum refinery operation | Cut-off, U (of project Ecoinvent 3 - allocation, cut-off by classification - unit)</v>
      </c>
      <c r="AJ66" s="5" t="str">
        <v>1 kWh electricity, photovoltaic mix flat-roof, at plant/CH U (of project 000 primary energy factors various projects)</v>
      </c>
      <c r="AK66" s="5" t="str">
        <v>1 kWh electricity, photovoltaic mix slanted-roof, at plant/CH U (of project 000 primary energy factors various projects)</v>
      </c>
      <c r="AL66" s="5" t="str">
        <v>1 kWh Electricity, at wind power plant/RER U (of project ESU database 2022 UVEK)</v>
      </c>
      <c r="AM66" s="5" t="str">
        <v>1 kWh electricity, hydropower, at run-of-river power plant/kWh/RER U (of project ESU database 2022 UVEK)</v>
      </c>
      <c r="AN66" s="5" t="str">
        <v>1 kWh electricity, hydropower, at reservoir power plant, non alpine regions/kWh/RER U (of project ESU database 2022 UVEK)</v>
      </c>
      <c r="AO66" s="5" t="str">
        <v>1 kWh Electricity from waste, at municipal waste incineration plant/CH U (of project ESU database 2022 UVEK)</v>
      </c>
      <c r="AP66" s="5" t="str">
        <v>1 kWh electricity, low voltage, at grid/kWh/DE U (of project ESU database 2022 UVEK)</v>
      </c>
      <c r="AQ66" s="5" t="str">
        <v>1 kWh electricity, low voltage, production ENTSO, at grid/kWh/ENTSO U (of project ESU database 2022 UVEK)</v>
      </c>
      <c r="AR66" s="5" t="str">
        <v>1 MJ heat, at 30 m2 Cu collector, multiple dwelling, flat roof, for hot water/CH U (of project ESU database 2022 UVEK)</v>
      </c>
      <c r="AS66" s="5" t="str">
        <v>1 MJ heat, at 30 m2 Cu collector, multiple dwelling, slanted roof, for hot water/CH U (of project ESU database 2022 UVEK)</v>
      </c>
      <c r="AT66" s="5" t="str">
        <v>1 MJ heat, at 10.5 m2 evacuated tube collector, heat pipe, one-family house, for combined system/CH U (of project ESU database 2022 UVEK)</v>
      </c>
      <c r="AU66" s="5" t="str">
        <v>1 MJ Heat, borehole heat exchanger, at brine-water heat pump 10kW/DE U (of project 000 primary energy factors various projects)</v>
      </c>
      <c r="AV66" s="5" t="str">
        <v>1 MJ Heat, at air-water heat pump 10kW/DE U (of project 000 primary energy factors various projects)</v>
      </c>
      <c r="AW66" s="5" t="str">
        <v>1 MJ heat, at groundwater heat pump, 10kW/MJ/DE U (of project 000 primary energy factors various projects)</v>
      </c>
      <c r="AX66" s="5" t="str">
        <v>1 MJ heat, at water heat pump, 13MW/MJ/DE U (of project 000 primary energy factors various projects)</v>
      </c>
      <c r="AY66" s="5" t="str">
        <v>1 kWh Electricity, high voltage {DE}| electricity production, deep geothermal | Cut-off, U (of project Ecoinvent 3 - allocation, cut-off by classification - unit)</v>
      </c>
      <c r="AZ66" s="5" t="str">
        <v>1 MJ Heat from waste, at municipal waste incineration plant/CH U (of project ESU database 2022 UVEK)</v>
      </c>
      <c r="BA66" s="5" t="str">
        <v>1 kg Fuel elements BWR, UO2 4.0% &amp; MOX, at nuclear fuel fabrication plant/DE U (of project ESU database 2023 (UVEK18))</v>
      </c>
      <c r="BB66" s="5" t="str">
        <v>1 kg Fuel elements PWR, UO2 4.0% &amp; MOX, at nuclear fuel fabrication plant/DE U (of project ESU database 2023 (UVEK18))</v>
      </c>
    </row>
    <row r="68" spans="1:54" s="14" customFormat="1" x14ac:dyDescent="0.2">
      <c r="A68" s="14" t="s">
        <v>137</v>
      </c>
      <c r="B68" s="14" t="s">
        <v>138</v>
      </c>
      <c r="C68" s="20">
        <f>SUM(C69:C74)</f>
        <v>57.360730804200003</v>
      </c>
      <c r="D68" s="20">
        <f t="shared" ref="D68:W68" si="0">SUM(D69:D74)</f>
        <v>54.389345532800007</v>
      </c>
      <c r="E68" s="20">
        <f t="shared" si="0"/>
        <v>56.3148292821</v>
      </c>
      <c r="F68" s="20">
        <f t="shared" si="0"/>
        <v>56.315071194799998</v>
      </c>
      <c r="G68" s="20">
        <f t="shared" si="0"/>
        <v>53.170809044399988</v>
      </c>
      <c r="H68" s="20">
        <f t="shared" si="0"/>
        <v>39.996945829159998</v>
      </c>
      <c r="I68" s="20">
        <f t="shared" si="0"/>
        <v>46.103812229510012</v>
      </c>
      <c r="J68" s="20">
        <f t="shared" si="0"/>
        <v>53.305906895059991</v>
      </c>
      <c r="K68" s="20">
        <f t="shared" si="0"/>
        <v>51.754900551880006</v>
      </c>
      <c r="L68" s="20">
        <f t="shared" si="0"/>
        <v>28.109443005700001</v>
      </c>
      <c r="M68" s="20">
        <f t="shared" si="0"/>
        <v>27.93812395622</v>
      </c>
      <c r="N68" s="20">
        <f t="shared" si="0"/>
        <v>29.462470657780003</v>
      </c>
      <c r="O68" s="20">
        <f t="shared" si="0"/>
        <v>25.786366353399998</v>
      </c>
      <c r="P68" s="20">
        <f t="shared" si="0"/>
        <v>20.7246956965</v>
      </c>
      <c r="Q68" s="20">
        <f t="shared" si="0"/>
        <v>10.303994295575</v>
      </c>
      <c r="R68" s="20">
        <f t="shared" si="0"/>
        <v>10.580157237449997</v>
      </c>
      <c r="S68" s="20">
        <f t="shared" si="0"/>
        <v>11.49451827583</v>
      </c>
      <c r="T68" s="20">
        <f t="shared" si="0"/>
        <v>12.339481795969999</v>
      </c>
      <c r="U68" s="20">
        <f t="shared" si="0"/>
        <v>12.430250639010001</v>
      </c>
      <c r="V68" s="20">
        <f t="shared" si="0"/>
        <v>3.3644401181799997</v>
      </c>
      <c r="W68" s="20">
        <f t="shared" si="0"/>
        <v>41.651443144199995</v>
      </c>
      <c r="X68" s="20">
        <f>SUM(X69:X74)</f>
        <v>11.469337597199997</v>
      </c>
      <c r="Y68" s="20">
        <f t="shared" ref="Y68" si="1">SUM(Y69:Y74)</f>
        <v>69.592837307700009</v>
      </c>
      <c r="Z68" s="20">
        <f t="shared" ref="Z68" si="2">SUM(Z69:Z74)</f>
        <v>63.811195981799997</v>
      </c>
      <c r="AA68" s="20">
        <f t="shared" ref="AA68" si="3">SUM(AA69:AA74)</f>
        <v>77.168747131999993</v>
      </c>
      <c r="AB68" s="20">
        <f t="shared" ref="AB68" si="4">SUM(AB69:AB74)</f>
        <v>20.620597918369999</v>
      </c>
      <c r="AC68" s="20">
        <f t="shared" ref="AC68" si="5">SUM(AC69:AC74)</f>
        <v>81.792424602000011</v>
      </c>
      <c r="AD68" s="20">
        <f t="shared" ref="AD68" si="6">SUM(AD69:AD74)</f>
        <v>6.4537537269239991</v>
      </c>
      <c r="AE68" s="20">
        <f t="shared" ref="AE68" si="7">SUM(AE69:AE74)</f>
        <v>2.2311510401499999</v>
      </c>
      <c r="AF68" s="20">
        <f t="shared" ref="AF68" si="8">SUM(AF69:AF74)</f>
        <v>22.850989911119999</v>
      </c>
      <c r="AG68" s="20">
        <f t="shared" ref="AG68" si="9">SUM(AG69:AG74)</f>
        <v>233.47444307160001</v>
      </c>
      <c r="AH68" s="20">
        <f t="shared" ref="AH68" si="10">SUM(AH69:AH74)</f>
        <v>72.528757012190098</v>
      </c>
      <c r="AI68" s="20">
        <f t="shared" ref="AI68" si="11">SUM(AI69:AI74)</f>
        <v>148.89269729389997</v>
      </c>
      <c r="AJ68" s="20">
        <f t="shared" ref="AJ68" si="12">SUM(AJ69:AJ74)</f>
        <v>4.1907780841680005</v>
      </c>
      <c r="AK68" s="20">
        <f t="shared" ref="AK68" si="13">SUM(AK69:AK74)</f>
        <v>4.2454334615930005</v>
      </c>
      <c r="AL68" s="20">
        <f t="shared" ref="AL68" si="14">SUM(AL69:AL74)</f>
        <v>3.7769006047160003</v>
      </c>
      <c r="AM68" s="20">
        <f t="shared" ref="AM68" si="15">SUM(AM69:AM74)</f>
        <v>3.8326053246487</v>
      </c>
      <c r="AN68" s="20">
        <f t="shared" ref="AN68" si="16">SUM(AN69:AN74)</f>
        <v>3.8376155719179001</v>
      </c>
      <c r="AO68" s="21">
        <v>3.6</v>
      </c>
      <c r="AP68" s="20">
        <f>SUM(AP69:AP74)</f>
        <v>9.1851643794660003</v>
      </c>
      <c r="AQ68" s="20">
        <f t="shared" ref="AQ68" si="17">SUM(AQ69:AQ74)</f>
        <v>11.56637161007</v>
      </c>
      <c r="AR68" s="20">
        <f t="shared" ref="AR68" si="18">SUM(AR69:AR74)</f>
        <v>1.0990964034763999</v>
      </c>
      <c r="AS68" s="20">
        <f t="shared" ref="AS68" si="19">SUM(AS69:AS74)</f>
        <v>1.0952875154913</v>
      </c>
      <c r="AT68" s="20">
        <f t="shared" ref="AT68" si="20">SUM(AT69:AT74)</f>
        <v>1.1878987504059999</v>
      </c>
      <c r="AU68" s="20">
        <f t="shared" ref="AU68" si="21">SUM(AU69:AU74)</f>
        <v>0.57926514710010002</v>
      </c>
      <c r="AV68" s="20">
        <f t="shared" ref="AV68" si="22">SUM(AV69:AV74)</f>
        <v>0.787465987393</v>
      </c>
      <c r="AW68" s="20">
        <f t="shared" ref="AW68" si="23">SUM(AW69:AW74)</f>
        <v>0.66157822004900002</v>
      </c>
      <c r="AX68" s="20">
        <f t="shared" ref="AX68" si="24">SUM(AX69:AX74)</f>
        <v>0.72774009291910013</v>
      </c>
      <c r="AY68" s="21">
        <f t="shared" ref="AY68" si="25">SUM(AY69:AY74)</f>
        <v>26.802906679014001</v>
      </c>
      <c r="AZ68" s="21">
        <v>1</v>
      </c>
      <c r="BA68">
        <v>4720911.5</v>
      </c>
      <c r="BB68">
        <v>4458680.4000000004</v>
      </c>
    </row>
    <row r="69" spans="1:54" x14ac:dyDescent="0.2">
      <c r="A69" t="s">
        <v>139</v>
      </c>
      <c r="B69" t="s">
        <v>138</v>
      </c>
      <c r="C69">
        <v>56.223883000000001</v>
      </c>
      <c r="D69">
        <v>53.438166000000002</v>
      </c>
      <c r="E69">
        <v>55.085493999999997</v>
      </c>
      <c r="F69">
        <v>55.163435</v>
      </c>
      <c r="G69">
        <v>52.092675999999997</v>
      </c>
      <c r="H69">
        <v>39.848911999999999</v>
      </c>
      <c r="I69">
        <v>45.899458000000003</v>
      </c>
      <c r="J69">
        <v>51.044075999999997</v>
      </c>
      <c r="K69">
        <v>49.170310999999998</v>
      </c>
      <c r="L69">
        <v>26.526512</v>
      </c>
      <c r="M69">
        <v>27.318757999999999</v>
      </c>
      <c r="N69">
        <v>28.922039000000002</v>
      </c>
      <c r="O69">
        <v>25.434877</v>
      </c>
      <c r="P69">
        <v>20.235955000000001</v>
      </c>
      <c r="Q69">
        <v>10.166795</v>
      </c>
      <c r="R69">
        <v>10.415222999999999</v>
      </c>
      <c r="S69">
        <v>11.213979999999999</v>
      </c>
      <c r="T69">
        <v>12.016099000000001</v>
      </c>
      <c r="U69">
        <v>11.493757</v>
      </c>
      <c r="V69">
        <v>2.2987641999999999</v>
      </c>
      <c r="W69">
        <v>5.1890729999999996</v>
      </c>
      <c r="X69">
        <v>6.6234057999999996</v>
      </c>
      <c r="Y69">
        <v>11.011184</v>
      </c>
      <c r="Z69">
        <v>11.849292</v>
      </c>
      <c r="AA69">
        <v>7.3159764999999997</v>
      </c>
      <c r="AB69">
        <v>0.50036062000000003</v>
      </c>
      <c r="AC69">
        <v>60.177506000000001</v>
      </c>
      <c r="AD69">
        <v>0.87471577</v>
      </c>
      <c r="AE69">
        <v>1.3439226</v>
      </c>
      <c r="AF69">
        <v>1.6023943</v>
      </c>
      <c r="AG69">
        <v>19.434685999999999</v>
      </c>
      <c r="AH69">
        <v>70.866144000000006</v>
      </c>
      <c r="AI69">
        <v>148.32071999999999</v>
      </c>
      <c r="AJ69">
        <v>0.44871017000000002</v>
      </c>
      <c r="AK69">
        <v>0.47101207</v>
      </c>
      <c r="AL69">
        <v>0.14321263000000001</v>
      </c>
      <c r="AM69">
        <v>3.4875796000000001E-2</v>
      </c>
      <c r="AN69">
        <v>3.6777501999999997E-2</v>
      </c>
      <c r="AO69">
        <v>0</v>
      </c>
      <c r="AP69">
        <v>5.2921116000000001</v>
      </c>
      <c r="AQ69">
        <v>6.5974237000000002</v>
      </c>
      <c r="AR69">
        <v>5.7064058000000001E-2</v>
      </c>
      <c r="AS69">
        <v>5.4075333000000003E-2</v>
      </c>
      <c r="AT69">
        <v>0.10279101</v>
      </c>
      <c r="AU69">
        <v>0.39550562</v>
      </c>
      <c r="AV69">
        <v>0.53247149000000005</v>
      </c>
      <c r="AW69">
        <v>0.45106751</v>
      </c>
      <c r="AX69">
        <v>0.49144175000000001</v>
      </c>
      <c r="AY69">
        <v>0.76690886999999996</v>
      </c>
      <c r="AZ69">
        <v>0</v>
      </c>
      <c r="BA69">
        <v>34194.53</v>
      </c>
      <c r="BB69">
        <v>32317.824000000001</v>
      </c>
    </row>
    <row r="70" spans="1:54" x14ac:dyDescent="0.2">
      <c r="A70" t="s">
        <v>150</v>
      </c>
      <c r="B70" t="s">
        <v>138</v>
      </c>
      <c r="C70">
        <v>0.87361042</v>
      </c>
      <c r="D70">
        <v>0.72128020000000004</v>
      </c>
      <c r="E70">
        <v>0.92935674000000001</v>
      </c>
      <c r="F70">
        <v>0.79519488999999999</v>
      </c>
      <c r="G70">
        <v>0.80540968000000002</v>
      </c>
      <c r="H70">
        <v>2.7526818000000002E-2</v>
      </c>
      <c r="I70">
        <v>0.14328547999999999</v>
      </c>
      <c r="J70">
        <v>1.7713559999999999</v>
      </c>
      <c r="K70">
        <v>2.0061526000000001</v>
      </c>
      <c r="L70">
        <v>1.1345786</v>
      </c>
      <c r="M70">
        <v>0.42256023999999998</v>
      </c>
      <c r="N70">
        <v>0.37363226999999999</v>
      </c>
      <c r="O70">
        <v>0.26409306999999999</v>
      </c>
      <c r="P70">
        <v>0.31366073</v>
      </c>
      <c r="Q70">
        <v>0.10816799000000001</v>
      </c>
      <c r="R70">
        <v>0.12009549</v>
      </c>
      <c r="S70">
        <v>0.2221418</v>
      </c>
      <c r="T70">
        <v>0.23658897000000001</v>
      </c>
      <c r="U70">
        <v>0.71464212000000005</v>
      </c>
      <c r="V70">
        <v>0.75406645000000005</v>
      </c>
      <c r="W70">
        <v>0.60019745000000002</v>
      </c>
      <c r="X70">
        <v>3.5611887000000002</v>
      </c>
      <c r="Y70">
        <v>3.3276001000000002</v>
      </c>
      <c r="Z70">
        <v>2.3214481</v>
      </c>
      <c r="AA70">
        <v>1.9922276999999999</v>
      </c>
      <c r="AB70">
        <v>4.0744590999999997E-2</v>
      </c>
      <c r="AC70">
        <v>15.782662999999999</v>
      </c>
      <c r="AD70">
        <v>1.6191486000000001E-2</v>
      </c>
      <c r="AE70">
        <v>0.48764737000000002</v>
      </c>
      <c r="AF70">
        <v>0.58738274999999995</v>
      </c>
      <c r="AG70">
        <v>4.9443839000000001</v>
      </c>
      <c r="AH70">
        <v>1.4722265000000001</v>
      </c>
      <c r="AI70">
        <v>0.29162071000000001</v>
      </c>
      <c r="AJ70">
        <v>8.1922337999999997E-2</v>
      </c>
      <c r="AK70">
        <v>0.10637573</v>
      </c>
      <c r="AL70">
        <v>2.154882E-2</v>
      </c>
      <c r="AM70">
        <v>5.2663961999999996E-3</v>
      </c>
      <c r="AN70">
        <v>7.5282125E-3</v>
      </c>
      <c r="AO70">
        <v>0</v>
      </c>
      <c r="AP70">
        <v>1.9981405999999999</v>
      </c>
      <c r="AQ70">
        <v>3.8879491000000002</v>
      </c>
      <c r="AR70">
        <v>2.9486545999999999E-2</v>
      </c>
      <c r="AS70">
        <v>2.8770805999999999E-2</v>
      </c>
      <c r="AT70">
        <v>6.1291629E-2</v>
      </c>
      <c r="AU70">
        <v>0.14398146000000001</v>
      </c>
      <c r="AV70">
        <v>0.19985301999999999</v>
      </c>
      <c r="AW70">
        <v>0.16495994</v>
      </c>
      <c r="AX70">
        <v>0.18527969999999999</v>
      </c>
      <c r="AY70">
        <v>0.11317990999999999</v>
      </c>
      <c r="AZ70">
        <v>0</v>
      </c>
      <c r="BA70">
        <v>4684971.3</v>
      </c>
      <c r="BB70">
        <v>4424705.5</v>
      </c>
    </row>
    <row r="71" spans="1:54" x14ac:dyDescent="0.2">
      <c r="A71" t="s">
        <v>151</v>
      </c>
      <c r="B71" t="s">
        <v>138</v>
      </c>
      <c r="C71">
        <v>2.0638072E-3</v>
      </c>
      <c r="D71">
        <v>1.3480598E-3</v>
      </c>
      <c r="E71">
        <v>1.8494461000000001E-3</v>
      </c>
      <c r="F71">
        <v>1.7644857999999999E-3</v>
      </c>
      <c r="G71">
        <v>1.6553793999999999E-3</v>
      </c>
      <c r="H71">
        <v>1.9480356E-4</v>
      </c>
      <c r="I71">
        <v>8.5244471000000004E-4</v>
      </c>
      <c r="J71">
        <v>9.3574505999999996E-4</v>
      </c>
      <c r="K71">
        <v>4.9850388000000003E-4</v>
      </c>
      <c r="L71">
        <v>1.1607477E-3</v>
      </c>
      <c r="M71">
        <v>4.2105122000000002E-4</v>
      </c>
      <c r="N71">
        <v>3.0879178000000002E-4</v>
      </c>
      <c r="O71">
        <v>3.1644339999999999E-4</v>
      </c>
      <c r="P71">
        <v>2.4503064999999999E-3</v>
      </c>
      <c r="Q71" s="1">
        <v>2.8424175E-5</v>
      </c>
      <c r="R71">
        <v>1.2095875E-4</v>
      </c>
      <c r="S71">
        <v>2.2734563E-4</v>
      </c>
      <c r="T71">
        <v>2.4526696999999998E-4</v>
      </c>
      <c r="U71">
        <v>8.8208801000000002E-4</v>
      </c>
      <c r="V71">
        <v>2.0449068000000001E-4</v>
      </c>
      <c r="W71">
        <v>6.4676482000000004E-3</v>
      </c>
      <c r="X71">
        <v>4.512052E-4</v>
      </c>
      <c r="Y71">
        <v>9.9593046999999994E-3</v>
      </c>
      <c r="Z71">
        <v>3.7594158000000002E-3</v>
      </c>
      <c r="AA71">
        <v>6.7447670000000004</v>
      </c>
      <c r="AB71">
        <v>2.5093107000000002E-4</v>
      </c>
      <c r="AC71">
        <v>8.0408242000000005E-2</v>
      </c>
      <c r="AD71" s="1">
        <v>7.3666324000000002E-5</v>
      </c>
      <c r="AE71">
        <v>7.4626415000000001E-4</v>
      </c>
      <c r="AF71">
        <v>7.0350711999999998E-4</v>
      </c>
      <c r="AG71">
        <v>2.3179016E-3</v>
      </c>
      <c r="AH71" s="1">
        <v>3.3588900999999998E-6</v>
      </c>
      <c r="AI71" s="1">
        <v>3.6271090000000001E-4</v>
      </c>
      <c r="AJ71" s="1">
        <v>8.9652167999999994E-5</v>
      </c>
      <c r="AK71" s="1">
        <v>6.6218592999999997E-5</v>
      </c>
      <c r="AL71" s="1">
        <v>2.5915916000000001E-5</v>
      </c>
      <c r="AM71" s="1">
        <v>5.8092487000000003E-6</v>
      </c>
      <c r="AN71" s="1">
        <v>8.5827779000000001E-6</v>
      </c>
      <c r="AO71" s="1">
        <v>0</v>
      </c>
      <c r="AP71" s="1">
        <v>9.0289465999999997E-5</v>
      </c>
      <c r="AQ71" s="1">
        <v>1.0177007E-4</v>
      </c>
      <c r="AR71" s="1">
        <v>7.3867764000000001E-6</v>
      </c>
      <c r="AS71" s="1">
        <v>6.8726912999999996E-6</v>
      </c>
      <c r="AT71" s="1">
        <v>1.0455406E-5</v>
      </c>
      <c r="AU71" s="1">
        <v>9.6191001000000007E-6</v>
      </c>
      <c r="AV71" s="1">
        <v>1.0209393E-5</v>
      </c>
      <c r="AW71" s="1">
        <v>1.0567049E-5</v>
      </c>
      <c r="AX71" s="1">
        <v>8.6209190999999993E-6</v>
      </c>
      <c r="AY71" s="1">
        <v>6.3905014000000004E-5</v>
      </c>
      <c r="AZ71">
        <v>0</v>
      </c>
      <c r="BA71">
        <v>14.866152</v>
      </c>
      <c r="BB71">
        <v>14.041681000000001</v>
      </c>
    </row>
    <row r="72" spans="1:54" x14ac:dyDescent="0.2">
      <c r="A72" t="s">
        <v>152</v>
      </c>
      <c r="B72" t="s">
        <v>138</v>
      </c>
      <c r="C72">
        <v>7.9368751000000001E-2</v>
      </c>
      <c r="D72">
        <v>6.1937328E-2</v>
      </c>
      <c r="E72">
        <v>7.9470430999999994E-2</v>
      </c>
      <c r="F72">
        <v>7.3064123999999994E-2</v>
      </c>
      <c r="G72">
        <v>7.0780066000000003E-2</v>
      </c>
      <c r="H72">
        <v>5.6637683000000001E-3</v>
      </c>
      <c r="I72">
        <v>1.9872171000000001E-2</v>
      </c>
      <c r="J72">
        <v>0.10921765999999999</v>
      </c>
      <c r="K72">
        <v>0.11661961999999999</v>
      </c>
      <c r="L72">
        <v>0.18053959</v>
      </c>
      <c r="M72">
        <v>9.6060891999999995E-2</v>
      </c>
      <c r="N72">
        <v>7.7459576000000002E-2</v>
      </c>
      <c r="O72">
        <v>2.1767414999999998E-2</v>
      </c>
      <c r="P72">
        <v>8.1924256000000001E-2</v>
      </c>
      <c r="Q72">
        <v>7.7586245000000002E-3</v>
      </c>
      <c r="R72">
        <v>1.4619748E-2</v>
      </c>
      <c r="S72">
        <v>1.5491857E-2</v>
      </c>
      <c r="T72">
        <v>1.8758118000000001E-2</v>
      </c>
      <c r="U72">
        <v>4.6513507000000003E-2</v>
      </c>
      <c r="V72">
        <v>8.8358952000000004E-2</v>
      </c>
      <c r="W72">
        <v>35.672989000000001</v>
      </c>
      <c r="X72">
        <v>0.22259804999999999</v>
      </c>
      <c r="Y72">
        <v>54.243625000000002</v>
      </c>
      <c r="Z72">
        <v>48.914315999999999</v>
      </c>
      <c r="AA72">
        <v>60.515329999999999</v>
      </c>
      <c r="AB72">
        <v>20.068777999999998</v>
      </c>
      <c r="AC72">
        <v>2.1245973999999999</v>
      </c>
      <c r="AD72">
        <v>5.4297943999999996</v>
      </c>
      <c r="AE72">
        <v>0.2867459</v>
      </c>
      <c r="AF72">
        <v>20.525569999999998</v>
      </c>
      <c r="AG72">
        <v>0.84080427000000002</v>
      </c>
      <c r="AH72">
        <v>0.13191354999999999</v>
      </c>
      <c r="AI72">
        <v>7.2564224999999996E-2</v>
      </c>
      <c r="AJ72">
        <v>1.5466367999999999E-2</v>
      </c>
      <c r="AK72">
        <v>1.6354637000000002E-2</v>
      </c>
      <c r="AL72">
        <v>2.2387043999999999E-3</v>
      </c>
      <c r="AM72">
        <v>3.9490077000000002E-4</v>
      </c>
      <c r="AN72">
        <v>5.1878646000000004E-4</v>
      </c>
      <c r="AO72">
        <v>0</v>
      </c>
      <c r="AP72">
        <v>0.35334364000000001</v>
      </c>
      <c r="AQ72">
        <v>0.21288441</v>
      </c>
      <c r="AR72">
        <v>2.0404007000000002E-3</v>
      </c>
      <c r="AS72">
        <v>1.9895398000000001E-3</v>
      </c>
      <c r="AT72">
        <v>4.6222959999999997E-3</v>
      </c>
      <c r="AU72">
        <v>2.5318720999999999E-2</v>
      </c>
      <c r="AV72">
        <v>3.5144372E-2</v>
      </c>
      <c r="AW72">
        <v>2.9028477E-2</v>
      </c>
      <c r="AX72">
        <v>3.2744145000000002E-2</v>
      </c>
      <c r="AY72">
        <v>1.28495E-2</v>
      </c>
      <c r="AZ72">
        <v>0</v>
      </c>
      <c r="BA72">
        <v>378.80497000000003</v>
      </c>
      <c r="BB72">
        <v>358.30083000000002</v>
      </c>
    </row>
    <row r="73" spans="1:54" x14ac:dyDescent="0.2">
      <c r="A73" t="s">
        <v>153</v>
      </c>
      <c r="B73" t="s">
        <v>138</v>
      </c>
      <c r="C73">
        <v>3.6371585999999997E-2</v>
      </c>
      <c r="D73">
        <v>3.3635674999999997E-2</v>
      </c>
      <c r="E73">
        <v>4.1619284999999999E-2</v>
      </c>
      <c r="F73">
        <v>3.2132195000000002E-2</v>
      </c>
      <c r="G73">
        <v>3.6813179000000001E-2</v>
      </c>
      <c r="H73">
        <v>2.0546393000000001E-3</v>
      </c>
      <c r="I73">
        <v>4.9729368000000001E-3</v>
      </c>
      <c r="J73">
        <v>7.9336290000000004E-2</v>
      </c>
      <c r="K73">
        <v>9.2582458000000006E-2</v>
      </c>
      <c r="L73">
        <v>4.8761328E-2</v>
      </c>
      <c r="M73">
        <v>1.8651727E-2</v>
      </c>
      <c r="N73">
        <v>1.6935921E-2</v>
      </c>
      <c r="O73">
        <v>1.1753939E-2</v>
      </c>
      <c r="P73">
        <v>1.3649303E-2</v>
      </c>
      <c r="Q73">
        <v>8.7182658999999992E-3</v>
      </c>
      <c r="R73">
        <v>5.6290267000000003E-3</v>
      </c>
      <c r="S73">
        <v>8.6818672000000003E-3</v>
      </c>
      <c r="T73">
        <v>1.0963878E-2</v>
      </c>
      <c r="U73">
        <v>2.7524824E-2</v>
      </c>
      <c r="V73">
        <v>9.8627355000000007E-3</v>
      </c>
      <c r="W73">
        <v>1.5264106E-2</v>
      </c>
      <c r="X73">
        <v>4.9308141999999999E-2</v>
      </c>
      <c r="Y73">
        <v>5.7507963000000002E-2</v>
      </c>
      <c r="Z73">
        <v>3.9435596000000003E-2</v>
      </c>
      <c r="AA73">
        <v>3.6044432000000001E-2</v>
      </c>
      <c r="AB73">
        <v>1.6659038999999999E-3</v>
      </c>
      <c r="AC73">
        <v>0.72763206000000002</v>
      </c>
      <c r="AD73">
        <v>7.7769546000000002E-3</v>
      </c>
      <c r="AE73">
        <v>2.4235665999999999E-2</v>
      </c>
      <c r="AF73">
        <v>2.8852234000000001E-2</v>
      </c>
      <c r="AG73">
        <v>190.94777999999999</v>
      </c>
      <c r="AH73">
        <v>1.4118130000000001E-4</v>
      </c>
      <c r="AI73">
        <v>3.2989978000000003E-2</v>
      </c>
      <c r="AJ73" s="16">
        <v>3.6</v>
      </c>
      <c r="AK73" s="16">
        <v>3.6</v>
      </c>
      <c r="AL73" s="16">
        <v>3.6</v>
      </c>
      <c r="AM73">
        <v>1.9732243000000001E-4</v>
      </c>
      <c r="AN73">
        <v>2.6048818E-4</v>
      </c>
      <c r="AO73">
        <v>0</v>
      </c>
      <c r="AP73">
        <v>1.3450787</v>
      </c>
      <c r="AQ73">
        <v>0.18361572000000001</v>
      </c>
      <c r="AR73" s="16">
        <v>1</v>
      </c>
      <c r="AS73" s="16">
        <v>1</v>
      </c>
      <c r="AT73" s="16">
        <v>1</v>
      </c>
      <c r="AU73" s="16">
        <v>0</v>
      </c>
      <c r="AV73" s="16">
        <v>0</v>
      </c>
      <c r="AW73" s="16">
        <v>0</v>
      </c>
      <c r="AX73" s="16">
        <v>0</v>
      </c>
      <c r="AY73" s="16">
        <f>7.1777339*3.6</f>
        <v>25.839842040000001</v>
      </c>
      <c r="AZ73">
        <v>0</v>
      </c>
      <c r="BA73">
        <v>395.54798</v>
      </c>
      <c r="BB73">
        <v>375.79270000000002</v>
      </c>
    </row>
    <row r="74" spans="1:54" x14ac:dyDescent="0.2">
      <c r="A74" t="s">
        <v>146</v>
      </c>
      <c r="B74" t="s">
        <v>138</v>
      </c>
      <c r="C74">
        <v>0.14543323999999999</v>
      </c>
      <c r="D74">
        <v>0.13297827000000001</v>
      </c>
      <c r="E74">
        <v>0.17703938</v>
      </c>
      <c r="F74">
        <v>0.24948049999999999</v>
      </c>
      <c r="G74">
        <v>0.16347474000000001</v>
      </c>
      <c r="H74">
        <v>0.11259379999999999</v>
      </c>
      <c r="I74">
        <v>3.5371197E-2</v>
      </c>
      <c r="J74">
        <v>0.30098520000000001</v>
      </c>
      <c r="K74">
        <v>0.36873636999999998</v>
      </c>
      <c r="L74">
        <v>0.21789074</v>
      </c>
      <c r="M74">
        <v>8.1672045999999998E-2</v>
      </c>
      <c r="N74">
        <v>7.2095098999999996E-2</v>
      </c>
      <c r="O74">
        <v>5.3558486000000002E-2</v>
      </c>
      <c r="P74">
        <v>7.7056101000000002E-2</v>
      </c>
      <c r="Q74">
        <v>1.2525991E-2</v>
      </c>
      <c r="R74">
        <v>2.4469014000000001E-2</v>
      </c>
      <c r="S74">
        <v>3.3995405999999999E-2</v>
      </c>
      <c r="T74">
        <v>5.6826562999999997E-2</v>
      </c>
      <c r="U74">
        <v>0.14693110000000001</v>
      </c>
      <c r="V74">
        <v>0.21318329</v>
      </c>
      <c r="W74">
        <v>0.16745193999999999</v>
      </c>
      <c r="X74">
        <v>1.0123857000000001</v>
      </c>
      <c r="Y74">
        <v>0.94296093999999997</v>
      </c>
      <c r="Z74">
        <v>0.68294487000000004</v>
      </c>
      <c r="AA74">
        <v>0.5644015</v>
      </c>
      <c r="AB74">
        <v>8.7978724000000001E-3</v>
      </c>
      <c r="AC74">
        <v>2.8996179</v>
      </c>
      <c r="AD74">
        <v>0.12520144999999999</v>
      </c>
      <c r="AE74">
        <v>8.7853239999999999E-2</v>
      </c>
      <c r="AF74">
        <v>0.10608711999999999</v>
      </c>
      <c r="AG74">
        <v>17.304470999999999</v>
      </c>
      <c r="AH74">
        <v>5.8328421999999998E-2</v>
      </c>
      <c r="AI74">
        <v>0.17443966999999999</v>
      </c>
      <c r="AJ74">
        <v>4.4589556000000002E-2</v>
      </c>
      <c r="AK74">
        <v>5.1624806000000002E-2</v>
      </c>
      <c r="AL74">
        <v>9.8745343999999992E-3</v>
      </c>
      <c r="AM74">
        <v>3.7918650999999999</v>
      </c>
      <c r="AN74">
        <v>3.7925219999999999</v>
      </c>
      <c r="AO74">
        <v>0</v>
      </c>
      <c r="AP74">
        <v>0.19639955000000001</v>
      </c>
      <c r="AQ74">
        <v>0.68439691000000002</v>
      </c>
      <c r="AR74">
        <v>1.0498011999999999E-2</v>
      </c>
      <c r="AS74">
        <v>1.0444963999999999E-2</v>
      </c>
      <c r="AT74">
        <v>1.918336E-2</v>
      </c>
      <c r="AU74">
        <v>1.4449727000000001E-2</v>
      </c>
      <c r="AV74">
        <v>1.9986896000000001E-2</v>
      </c>
      <c r="AW74">
        <v>1.6511726000000001E-2</v>
      </c>
      <c r="AX74">
        <v>1.8265877E-2</v>
      </c>
      <c r="AY74">
        <v>7.0062453999999996E-2</v>
      </c>
      <c r="AZ74">
        <v>0</v>
      </c>
      <c r="BA74">
        <v>956.41965000000005</v>
      </c>
      <c r="BB74">
        <v>908.90912000000003</v>
      </c>
    </row>
    <row r="76" spans="1:54" ht="16" x14ac:dyDescent="0.2">
      <c r="A76" s="5" t="s">
        <v>364</v>
      </c>
      <c r="C76" t="s">
        <v>154</v>
      </c>
      <c r="D76" t="s">
        <v>155</v>
      </c>
      <c r="E76" t="s">
        <v>156</v>
      </c>
      <c r="F76" t="s">
        <v>157</v>
      </c>
      <c r="G76" t="s">
        <v>158</v>
      </c>
      <c r="H76" t="s">
        <v>159</v>
      </c>
      <c r="I76" t="s">
        <v>160</v>
      </c>
      <c r="J76" t="s">
        <v>161</v>
      </c>
      <c r="K76" t="s">
        <v>162</v>
      </c>
      <c r="L76" t="s">
        <v>163</v>
      </c>
      <c r="M76" t="s">
        <v>164</v>
      </c>
      <c r="N76" t="s">
        <v>165</v>
      </c>
      <c r="O76" t="s">
        <v>166</v>
      </c>
      <c r="P76" t="s">
        <v>167</v>
      </c>
      <c r="Q76" t="s">
        <v>168</v>
      </c>
      <c r="R76" t="s">
        <v>169</v>
      </c>
      <c r="S76" t="s">
        <v>170</v>
      </c>
      <c r="T76" t="s">
        <v>171</v>
      </c>
      <c r="U76" t="s">
        <v>172</v>
      </c>
      <c r="V76" t="s">
        <v>173</v>
      </c>
      <c r="W76" t="s">
        <v>174</v>
      </c>
      <c r="X76" t="s">
        <v>175</v>
      </c>
      <c r="Y76" t="s">
        <v>176</v>
      </c>
      <c r="Z76" t="s">
        <v>177</v>
      </c>
      <c r="AA76" t="s">
        <v>178</v>
      </c>
      <c r="AB76" t="s">
        <v>179</v>
      </c>
      <c r="AC76" t="s">
        <v>180</v>
      </c>
      <c r="AD76" t="s">
        <v>181</v>
      </c>
      <c r="AE76" t="s">
        <v>182</v>
      </c>
      <c r="AF76" t="s">
        <v>183</v>
      </c>
      <c r="AG76" t="s">
        <v>184</v>
      </c>
      <c r="AH76" t="s">
        <v>234</v>
      </c>
      <c r="AI76" t="s">
        <v>233</v>
      </c>
      <c r="AJ76" t="s">
        <v>217</v>
      </c>
      <c r="AK76" t="s">
        <v>216</v>
      </c>
      <c r="AL76" t="s">
        <v>185</v>
      </c>
      <c r="AM76" t="s">
        <v>186</v>
      </c>
      <c r="AN76" t="s">
        <v>187</v>
      </c>
      <c r="AO76" t="s">
        <v>188</v>
      </c>
      <c r="AP76" t="s">
        <v>189</v>
      </c>
      <c r="AQ76" t="s">
        <v>190</v>
      </c>
      <c r="AR76" t="s">
        <v>215</v>
      </c>
      <c r="AS76" t="s">
        <v>214</v>
      </c>
      <c r="AT76" t="s">
        <v>218</v>
      </c>
      <c r="AU76" t="s">
        <v>222</v>
      </c>
      <c r="AV76" t="s">
        <v>221</v>
      </c>
      <c r="AW76" t="s">
        <v>219</v>
      </c>
      <c r="AX76" t="s">
        <v>220</v>
      </c>
      <c r="AY76" t="s">
        <v>191</v>
      </c>
      <c r="AZ76" t="s">
        <v>192</v>
      </c>
      <c r="BA76" t="s">
        <v>653</v>
      </c>
      <c r="BB76" t="s">
        <v>656</v>
      </c>
    </row>
    <row r="77" spans="1:54" ht="131" customHeight="1" x14ac:dyDescent="0.2">
      <c r="A77" s="5" t="s">
        <v>363</v>
      </c>
      <c r="C77" s="23" t="s">
        <v>298</v>
      </c>
      <c r="D77" s="23" t="s">
        <v>299</v>
      </c>
      <c r="E77" s="23" t="s">
        <v>300</v>
      </c>
      <c r="F77" s="23" t="s">
        <v>301</v>
      </c>
      <c r="G77" s="23" t="s">
        <v>302</v>
      </c>
      <c r="H77" s="23" t="s">
        <v>303</v>
      </c>
      <c r="I77" s="23" t="s">
        <v>304</v>
      </c>
      <c r="J77" s="23" t="s">
        <v>305</v>
      </c>
      <c r="K77" s="23" t="s">
        <v>306</v>
      </c>
      <c r="L77" s="23" t="s">
        <v>307</v>
      </c>
      <c r="M77" s="23" t="s">
        <v>308</v>
      </c>
      <c r="N77" s="23" t="s">
        <v>309</v>
      </c>
      <c r="O77" s="23" t="s">
        <v>310</v>
      </c>
      <c r="P77" s="23" t="s">
        <v>311</v>
      </c>
      <c r="Q77" s="23" t="s">
        <v>312</v>
      </c>
      <c r="R77" s="23" t="s">
        <v>313</v>
      </c>
      <c r="S77" s="23" t="s">
        <v>314</v>
      </c>
      <c r="T77" s="23" t="s">
        <v>315</v>
      </c>
      <c r="U77" s="23" t="s">
        <v>316</v>
      </c>
      <c r="V77" s="23" t="s">
        <v>317</v>
      </c>
      <c r="W77" s="23" t="s">
        <v>318</v>
      </c>
      <c r="X77" s="23" t="s">
        <v>319</v>
      </c>
      <c r="Y77" s="23" t="s">
        <v>320</v>
      </c>
      <c r="Z77" s="23" t="s">
        <v>321</v>
      </c>
      <c r="AA77" s="23" t="s">
        <v>322</v>
      </c>
      <c r="AB77" s="23" t="s">
        <v>323</v>
      </c>
      <c r="AC77" s="23" t="s">
        <v>324</v>
      </c>
      <c r="AD77" s="23" t="s">
        <v>325</v>
      </c>
      <c r="AE77" s="23" t="s">
        <v>326</v>
      </c>
      <c r="AF77" s="23" t="s">
        <v>327</v>
      </c>
      <c r="AG77" s="23" t="s">
        <v>328</v>
      </c>
      <c r="AH77" s="23" t="s">
        <v>329</v>
      </c>
      <c r="AI77" s="23" t="s">
        <v>330</v>
      </c>
      <c r="AJ77" s="23" t="s">
        <v>331</v>
      </c>
      <c r="AK77" s="23" t="s">
        <v>332</v>
      </c>
      <c r="AL77" s="23" t="s">
        <v>333</v>
      </c>
      <c r="AM77" s="23" t="s">
        <v>334</v>
      </c>
      <c r="AN77" s="23" t="s">
        <v>335</v>
      </c>
      <c r="AO77" s="23" t="s">
        <v>336</v>
      </c>
      <c r="AP77" s="23" t="s">
        <v>337</v>
      </c>
      <c r="AQ77" s="23" t="s">
        <v>338</v>
      </c>
      <c r="AR77" s="23" t="s">
        <v>339</v>
      </c>
      <c r="AS77" s="23" t="s">
        <v>340</v>
      </c>
      <c r="AT77" s="23" t="s">
        <v>341</v>
      </c>
      <c r="AU77" s="23" t="s">
        <v>342</v>
      </c>
      <c r="AV77" s="23" t="s">
        <v>343</v>
      </c>
      <c r="AW77" s="23" t="s">
        <v>344</v>
      </c>
      <c r="AX77" s="23" t="s">
        <v>345</v>
      </c>
      <c r="AY77" s="23" t="s">
        <v>346</v>
      </c>
      <c r="AZ77" s="23" t="s">
        <v>347</v>
      </c>
      <c r="BA77" s="5" t="s">
        <v>654</v>
      </c>
      <c r="BB77" s="5" t="s">
        <v>655</v>
      </c>
    </row>
    <row r="79" spans="1:54" ht="64" x14ac:dyDescent="0.2">
      <c r="A79" s="5" t="s">
        <v>659</v>
      </c>
      <c r="C79" s="48">
        <f>(CED!C66-CED_edit!C68)/CED_edit!C68</f>
        <v>3.4134850740545239E-9</v>
      </c>
      <c r="D79" s="48">
        <f>(CED!D66-CED_edit!D68)/CED_edit!D68</f>
        <v>8.5899175922605621E-9</v>
      </c>
      <c r="E79" s="48">
        <f>(CED!E66-CED_edit!E68)/CED_edit!E68</f>
        <v>-5.0093376876376895E-9</v>
      </c>
      <c r="F79" s="48">
        <f>(CED!F66-CED_edit!F68)/CED_edit!F68</f>
        <v>-3.4591094474107595E-9</v>
      </c>
      <c r="G79" s="48">
        <f>(CED!G66-CED_edit!G68)/CED_edit!G68</f>
        <v>-8.3504445880712093E-10</v>
      </c>
      <c r="H79" s="48">
        <f>(CED!H66-CED_edit!H68)/CED_edit!H68</f>
        <v>4.2713262209304013E-9</v>
      </c>
      <c r="I79" s="48">
        <f>(CED!I66-CED_edit!I68)/CED_edit!I68</f>
        <v>1.6712066806888614E-8</v>
      </c>
      <c r="J79" s="48">
        <f>(CED!J66-CED_edit!J68)/CED_edit!J68</f>
        <v>1.9686374928956096E-9</v>
      </c>
      <c r="K79" s="48">
        <f>(CED!K66-CED_edit!K68)/CED_edit!K68</f>
        <v>-1.0663338170840295E-8</v>
      </c>
      <c r="L79" s="48">
        <f>(CED!L66-CED_edit!L68)/CED_edit!L68</f>
        <v>-2.0277891122997756E-10</v>
      </c>
      <c r="M79" s="48">
        <f>(CED!M66-CED_edit!M68)/CED_edit!M68</f>
        <v>1.5670342919913908E-9</v>
      </c>
      <c r="N79" s="48">
        <f>(CED!N66-CED_edit!N68)/CED_edit!N68</f>
        <v>1.1615454864338582E-8</v>
      </c>
      <c r="O79" s="48">
        <f>(CED!O66-CED_edit!O68)/CED_edit!O68</f>
        <v>2.507526618320781E-8</v>
      </c>
      <c r="P79" s="48">
        <f>(CED!P66-CED_edit!P68)/CED_edit!P68</f>
        <v>1.4644364697249523E-8</v>
      </c>
      <c r="Q79" s="48">
        <f>(CED!Q66-CED_edit!Q68)/CED_edit!Q68</f>
        <v>-2.8685477926379508E-8</v>
      </c>
      <c r="R79" s="48">
        <f>(CED!R66-CED_edit!R68)/CED_edit!R68</f>
        <v>-2.2442955441319151E-8</v>
      </c>
      <c r="S79" s="48">
        <f>(CED!S66-CED_edit!S68)/CED_edit!S68</f>
        <v>-2.3996655971030576E-8</v>
      </c>
      <c r="T79" s="48">
        <f>(CED!T66-CED_edit!T68)/CED_edit!T68</f>
        <v>1.6534730157721838E-8</v>
      </c>
      <c r="U79" s="48">
        <f>(CED!U66-CED_edit!U68)/CED_edit!U68</f>
        <v>-5.1407652251221867E-8</v>
      </c>
      <c r="V79" s="48">
        <f>(CED!V66-CED_edit!V68)/CED_edit!V68</f>
        <v>-5.4035735781493447E-9</v>
      </c>
      <c r="W79" s="48">
        <f>(CED!W66-CED_edit!W68)/CED_edit!W68</f>
        <v>-3.4620647757236976E-9</v>
      </c>
      <c r="X79" s="48">
        <f>(CED!X66-CED_edit!X68)/CED_edit!X68</f>
        <v>3.511972681212998E-8</v>
      </c>
      <c r="Y79" s="48">
        <f>(CED!Y66-CED_edit!Y68)/CED_edit!Y68</f>
        <v>-4.4214321160497051E-9</v>
      </c>
      <c r="Z79" s="48">
        <f>(CED!Z66-CED_edit!Z68)/CED_edit!Z68</f>
        <v>2.8521648558004415E-10</v>
      </c>
      <c r="AA79" s="48">
        <f>(CED!AA66-CED_edit!AA68)/CED_edit!AA68</f>
        <v>-1.7105369934940552E-9</v>
      </c>
      <c r="AB79" s="48">
        <f>(CED!AB66-CED_edit!AB68)/CED_edit!AB68</f>
        <v>3.9586632083293641E-9</v>
      </c>
      <c r="AC79" s="48">
        <f>(CED!AC66-CED_edit!AC68)/CED_edit!AC68</f>
        <v>-7.3600949869365565E-9</v>
      </c>
      <c r="AD79" s="48">
        <f>(CED!AD66-CED_edit!AD68)/CED_edit!AD68</f>
        <v>1.1323022901433445E-8</v>
      </c>
      <c r="AE79" s="48">
        <f>(CED!AE66-CED_edit!AE68)/CED_edit!AE68</f>
        <v>-1.7995195774201348E-8</v>
      </c>
      <c r="AF79" s="48">
        <f>(CED!AF66-CED_edit!AF68)/CED_edit!AF68</f>
        <v>3.8895470434427465E-9</v>
      </c>
      <c r="AG79" s="48">
        <f>(CED!AG66-CED_edit!AG68)/CED_edit!AG68</f>
        <v>-1.3156043887528401E-8</v>
      </c>
      <c r="AH79" s="48">
        <f>(CED!AH66-CED_edit!AH68)/CED_edit!AH68</f>
        <v>-1.6807263902731557E-10</v>
      </c>
      <c r="AI79" s="48">
        <f>(CED!AI66-CED_edit!AI68)/CED_edit!AI68</f>
        <v>1.817483374809913E-8</v>
      </c>
      <c r="AJ79" s="48">
        <f>(CED!AJ66-CED_edit!AJ68)/CED_edit!AJ68</f>
        <v>6.0426873183449616E-2</v>
      </c>
      <c r="AK79" s="48">
        <f>(CED!AK66-CED_edit!AK68)/CED_edit!AK68</f>
        <v>5.9938411639012597E-2</v>
      </c>
      <c r="AL79" s="48">
        <f>(CED!AL66-CED_edit!AL68)/CED_edit!AL68</f>
        <v>7.1704056745852243E-2</v>
      </c>
      <c r="AM79" s="48">
        <f>(CED!AM66-CED_edit!AM68)/CED_edit!AM68</f>
        <v>-6.4313170499094336E-9</v>
      </c>
      <c r="AN79" s="48">
        <f>(CED!AN66-CED_edit!AN68)/CED_edit!AN68</f>
        <v>-1.8740256477464842E-8</v>
      </c>
      <c r="AO79" s="48">
        <f>(CED!AO66-CED_edit!AO68)/CED_edit!AO68</f>
        <v>-1</v>
      </c>
      <c r="AP79" s="48">
        <f>(CED!AP66-CED_edit!AP68)/CED_edit!AP68</f>
        <v>-8.6515599198395554E-9</v>
      </c>
      <c r="AQ79" s="48">
        <f>(CED!AQ66-CED_edit!AQ68)/CED_edit!AQ68</f>
        <v>3.3712387302243304E-8</v>
      </c>
      <c r="AR79" s="48">
        <f>(CED!AR66-CED_edit!AR68)/CED_edit!AR68</f>
        <v>0.13181918898591963</v>
      </c>
      <c r="AS79" s="48">
        <f>(CED!AS66-CED_edit!AS68)/CED_edit!AS68</f>
        <v>0.12120724707534987</v>
      </c>
      <c r="AT79" s="48">
        <f>(CED!AT66-CED_edit!AT68)/CED_edit!AT68</f>
        <v>0.43066839612311125</v>
      </c>
      <c r="AU79" s="48">
        <f>(CED!AU66-CED_edit!AU68)/CED_edit!AU68</f>
        <v>1.4498370169589561</v>
      </c>
      <c r="AV79" s="48">
        <f>(CED!AV66-CED_edit!AV68)/CED_edit!AV68</f>
        <v>0.16952383308509442</v>
      </c>
      <c r="AW79" s="48">
        <f>(CED!AW66-CED_edit!AW68)/CED_edit!AW68</f>
        <v>1.2331753906447742</v>
      </c>
      <c r="AX79" s="48">
        <f>(CED!AX66-CED_edit!AX68)/CED_edit!AX68</f>
        <v>0.17114989031495606</v>
      </c>
      <c r="AY79" s="48">
        <f>(CED!AY66-CED_edit!AY68)/CED_edit!AY68</f>
        <v>-0.69627180374529896</v>
      </c>
      <c r="AZ79" s="48">
        <f>(CED!AZ66-CED_edit!AZ68)/CED_edit!AZ68</f>
        <v>-1</v>
      </c>
    </row>
  </sheetData>
  <pageMargins left="0.7" right="0.7" top="0.78740157499999996" bottom="0.78740157499999996"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412AF-5134-3C4E-A4B4-A138CE4B8220}">
  <dimension ref="A2:AA62"/>
  <sheetViews>
    <sheetView tabSelected="1" zoomScaleNormal="100" workbookViewId="0">
      <selection activeCell="E11" sqref="E11"/>
    </sheetView>
  </sheetViews>
  <sheetFormatPr baseColWidth="10" defaultColWidth="10.83203125" defaultRowHeight="15" x14ac:dyDescent="0.2"/>
  <cols>
    <col min="1" max="1" width="63.83203125" bestFit="1" customWidth="1"/>
    <col min="2" max="2" width="65.83203125" customWidth="1"/>
    <col min="3" max="3" width="26.83203125" customWidth="1"/>
    <col min="4" max="4" width="14.5" bestFit="1" customWidth="1"/>
    <col min="5" max="5" width="14.5" customWidth="1"/>
    <col min="7" max="7" width="18.6640625" bestFit="1" customWidth="1"/>
    <col min="9" max="9" width="14.5" customWidth="1"/>
    <col min="14" max="14" width="18.1640625" customWidth="1"/>
    <col min="15" max="15" width="15" customWidth="1"/>
    <col min="16" max="16" width="28.33203125" style="5" customWidth="1"/>
    <col min="17" max="17" width="53.1640625" style="5" customWidth="1"/>
    <col min="25" max="25" width="13.5" customWidth="1"/>
  </cols>
  <sheetData>
    <row r="2" spans="1:17" s="9" customFormat="1" ht="112" x14ac:dyDescent="0.2">
      <c r="A2" s="9" t="s">
        <v>744</v>
      </c>
      <c r="B2" s="9" t="s">
        <v>395</v>
      </c>
      <c r="C2" s="9" t="s">
        <v>90</v>
      </c>
      <c r="D2" s="9" t="s">
        <v>209</v>
      </c>
      <c r="E2" s="9" t="s">
        <v>797</v>
      </c>
      <c r="F2" s="9" t="s">
        <v>210</v>
      </c>
      <c r="G2" s="9" t="s">
        <v>797</v>
      </c>
      <c r="I2" s="9" t="s">
        <v>270</v>
      </c>
      <c r="J2" s="9" t="s">
        <v>269</v>
      </c>
      <c r="K2" s="9" t="s">
        <v>211</v>
      </c>
      <c r="L2" s="9" t="s">
        <v>212</v>
      </c>
      <c r="N2" s="9" t="s">
        <v>236</v>
      </c>
      <c r="O2" s="9" t="s">
        <v>260</v>
      </c>
      <c r="P2" s="9" t="s">
        <v>356</v>
      </c>
      <c r="Q2" s="9" t="s">
        <v>287</v>
      </c>
    </row>
    <row r="3" spans="1:17" x14ac:dyDescent="0.2">
      <c r="A3" t="s">
        <v>154</v>
      </c>
      <c r="B3" t="s">
        <v>91</v>
      </c>
      <c r="C3" t="s">
        <v>194</v>
      </c>
      <c r="D3" cm="1">
        <f t="array" ref="D3:D54">TRANSPOSE(CExD!C66:BB66)</f>
        <v>108.92604</v>
      </c>
      <c r="E3" s="19">
        <f>D3-I3</f>
        <v>50.812514507900005</v>
      </c>
      <c r="F3" cm="1">
        <f t="array" ref="F3:F54">TRANSPOSE(CED!C66:BB66)</f>
        <v>57.360731000000001</v>
      </c>
      <c r="G3" s="8">
        <f>F3-J3</f>
        <v>1.9579999843699625E-7</v>
      </c>
      <c r="I3" cm="1">
        <f t="array" ref="I3:I54">TRANSPOSE(CExD_edit!C69:BB69)</f>
        <v>58.113525492099996</v>
      </c>
      <c r="J3" cm="1">
        <f t="array" ref="J3:J54">TRANSPOSE(CED_edit!C68:BB68)</f>
        <v>57.360730804200003</v>
      </c>
      <c r="K3" cm="1">
        <f t="array" ref="K3:K54">TRANSPOSE('GWP 100'!C66:BB66)</f>
        <v>0.87477159999999998</v>
      </c>
      <c r="L3" cm="1">
        <f t="array" ref="L3:L54">TRANSPOSE('GWP 20'!C66:BB66)</f>
        <v>1.2712611</v>
      </c>
      <c r="N3">
        <v>46.5</v>
      </c>
      <c r="O3">
        <v>45.8</v>
      </c>
    </row>
    <row r="4" spans="1:17" x14ac:dyDescent="0.2">
      <c r="A4" t="s">
        <v>155</v>
      </c>
      <c r="B4" t="s">
        <v>92</v>
      </c>
      <c r="C4" t="s">
        <v>194</v>
      </c>
      <c r="D4">
        <v>98.690984999999998</v>
      </c>
      <c r="E4" s="19">
        <f t="shared" ref="E4:E54" si="0">D4-I4</f>
        <v>43.4959741901</v>
      </c>
      <c r="F4">
        <v>54.389346000000003</v>
      </c>
      <c r="G4" s="8">
        <f t="shared" ref="G4:G54" si="1">F4-J4</f>
        <v>4.6719999602373719E-7</v>
      </c>
      <c r="I4">
        <v>55.195010809899998</v>
      </c>
      <c r="J4">
        <v>54.389345532800007</v>
      </c>
      <c r="K4">
        <v>0.64527084999999995</v>
      </c>
      <c r="L4">
        <v>0.93562403000000005</v>
      </c>
      <c r="N4">
        <v>46.5</v>
      </c>
      <c r="O4">
        <v>45.8</v>
      </c>
    </row>
    <row r="5" spans="1:17" x14ac:dyDescent="0.2">
      <c r="A5" t="s">
        <v>156</v>
      </c>
      <c r="B5" t="s">
        <v>93</v>
      </c>
      <c r="C5" t="s">
        <v>194</v>
      </c>
      <c r="D5">
        <v>117.53939</v>
      </c>
      <c r="E5" s="19">
        <f t="shared" si="0"/>
        <v>60.436113224900005</v>
      </c>
      <c r="F5">
        <v>56.314829000000003</v>
      </c>
      <c r="G5" s="8">
        <f t="shared" si="1"/>
        <v>-2.8209999669570607E-7</v>
      </c>
      <c r="I5">
        <v>57.103276775099992</v>
      </c>
      <c r="J5">
        <v>56.3148292821</v>
      </c>
      <c r="K5">
        <v>0.93962798000000003</v>
      </c>
      <c r="L5">
        <v>1.6283993999999999</v>
      </c>
      <c r="N5">
        <v>46.5</v>
      </c>
      <c r="O5">
        <v>45.8</v>
      </c>
    </row>
    <row r="6" spans="1:17" ht="16" x14ac:dyDescent="0.2">
      <c r="A6" t="s">
        <v>157</v>
      </c>
      <c r="B6" t="s">
        <v>94</v>
      </c>
      <c r="C6" t="s">
        <v>194</v>
      </c>
      <c r="D6">
        <v>162.18393</v>
      </c>
      <c r="E6" s="19">
        <f t="shared" si="0"/>
        <v>105.02123759190002</v>
      </c>
      <c r="F6">
        <v>56.315071000000003</v>
      </c>
      <c r="G6" s="8">
        <f t="shared" si="1"/>
        <v>-1.947999948015422E-7</v>
      </c>
      <c r="I6">
        <v>57.162692408099993</v>
      </c>
      <c r="J6">
        <v>56.315071194799998</v>
      </c>
      <c r="K6">
        <v>0.73275721999999999</v>
      </c>
      <c r="L6">
        <v>0.98446177999999995</v>
      </c>
      <c r="N6">
        <v>46.5</v>
      </c>
      <c r="O6">
        <v>45.8</v>
      </c>
      <c r="Q6" s="5" t="s">
        <v>284</v>
      </c>
    </row>
    <row r="7" spans="1:17" x14ac:dyDescent="0.2">
      <c r="A7" t="s">
        <v>158</v>
      </c>
      <c r="B7" t="s">
        <v>95</v>
      </c>
      <c r="C7" t="s">
        <v>194</v>
      </c>
      <c r="D7">
        <v>104.61675</v>
      </c>
      <c r="E7" s="19">
        <f t="shared" si="0"/>
        <v>50.727178162000008</v>
      </c>
      <c r="F7">
        <v>53.170808999999998</v>
      </c>
      <c r="G7" s="8">
        <f t="shared" si="1"/>
        <v>-4.4399989462817757E-8</v>
      </c>
      <c r="I7">
        <v>53.889571837999988</v>
      </c>
      <c r="J7">
        <v>53.170809044399988</v>
      </c>
      <c r="K7">
        <v>0.81325082999999998</v>
      </c>
      <c r="L7">
        <v>1.3918172</v>
      </c>
      <c r="N7">
        <v>46.5</v>
      </c>
      <c r="O7">
        <v>45.8</v>
      </c>
    </row>
    <row r="8" spans="1:17" x14ac:dyDescent="0.2">
      <c r="A8" t="s">
        <v>159</v>
      </c>
      <c r="B8" t="s">
        <v>229</v>
      </c>
      <c r="C8" t="s">
        <v>206</v>
      </c>
      <c r="D8">
        <v>42.204534000000002</v>
      </c>
      <c r="E8" s="19">
        <f t="shared" si="0"/>
        <v>4.4534760120700057</v>
      </c>
      <c r="F8">
        <v>39.996946000000001</v>
      </c>
      <c r="G8" s="8">
        <f t="shared" si="1"/>
        <v>1.7084000347722395E-7</v>
      </c>
      <c r="I8">
        <v>37.751057987929997</v>
      </c>
      <c r="J8">
        <v>39.996945829159998</v>
      </c>
      <c r="K8">
        <v>0.1066246</v>
      </c>
      <c r="L8">
        <v>0.12293123</v>
      </c>
      <c r="N8">
        <v>36</v>
      </c>
      <c r="O8">
        <v>38.299999999999997</v>
      </c>
    </row>
    <row r="9" spans="1:17" x14ac:dyDescent="0.2">
      <c r="A9" t="s">
        <v>160</v>
      </c>
      <c r="B9" t="s">
        <v>96</v>
      </c>
      <c r="C9" t="s">
        <v>206</v>
      </c>
      <c r="D9">
        <v>57.680362000000002</v>
      </c>
      <c r="E9" s="19">
        <f t="shared" si="0"/>
        <v>14.104325187019995</v>
      </c>
      <c r="F9">
        <v>46.103813000000002</v>
      </c>
      <c r="G9" s="8">
        <f t="shared" si="1"/>
        <v>7.7048999003181962E-7</v>
      </c>
      <c r="I9">
        <v>43.576036812980007</v>
      </c>
      <c r="J9">
        <v>46.103812229510012</v>
      </c>
      <c r="K9">
        <v>0.88686076000000003</v>
      </c>
      <c r="L9">
        <v>1.7560560999999999</v>
      </c>
      <c r="N9">
        <v>36</v>
      </c>
      <c r="O9">
        <v>38.299999999999997</v>
      </c>
    </row>
    <row r="10" spans="1:17" ht="16" x14ac:dyDescent="0.2">
      <c r="A10" t="s">
        <v>161</v>
      </c>
      <c r="B10" t="s">
        <v>97</v>
      </c>
      <c r="C10" t="s">
        <v>206</v>
      </c>
      <c r="D10">
        <v>153.17616000000001</v>
      </c>
      <c r="E10" s="19">
        <f t="shared" si="0"/>
        <v>102.23890906019</v>
      </c>
      <c r="F10">
        <v>53.305906999999998</v>
      </c>
      <c r="G10" s="8">
        <f t="shared" si="1"/>
        <v>1.0494000690641769E-7</v>
      </c>
      <c r="I10">
        <v>50.937250939810014</v>
      </c>
      <c r="J10">
        <v>53.305906895059991</v>
      </c>
      <c r="K10">
        <v>1.0973134</v>
      </c>
      <c r="L10">
        <v>1.6369327</v>
      </c>
      <c r="N10">
        <v>36</v>
      </c>
      <c r="O10">
        <v>38.299999999999997</v>
      </c>
      <c r="Q10" s="5" t="s">
        <v>285</v>
      </c>
    </row>
    <row r="11" spans="1:17" x14ac:dyDescent="0.2">
      <c r="A11" t="s">
        <v>162</v>
      </c>
      <c r="B11" t="s">
        <v>98</v>
      </c>
      <c r="C11" t="s">
        <v>206</v>
      </c>
      <c r="D11">
        <v>171.14431999999999</v>
      </c>
      <c r="E11" s="19">
        <f t="shared" si="0"/>
        <v>121.61509018532001</v>
      </c>
      <c r="F11">
        <v>51.754899999999999</v>
      </c>
      <c r="G11" s="8">
        <f t="shared" si="1"/>
        <v>-5.5188000658290548E-7</v>
      </c>
      <c r="I11">
        <v>49.529229814679972</v>
      </c>
      <c r="J11">
        <v>51.754900551880006</v>
      </c>
      <c r="K11">
        <v>0.90990722000000002</v>
      </c>
      <c r="L11">
        <v>1.2829161</v>
      </c>
      <c r="N11">
        <v>36</v>
      </c>
      <c r="O11">
        <v>38.299999999999997</v>
      </c>
    </row>
    <row r="12" spans="1:17" x14ac:dyDescent="0.2">
      <c r="A12" t="s">
        <v>163</v>
      </c>
      <c r="B12" t="s">
        <v>99</v>
      </c>
      <c r="C12" t="s">
        <v>194</v>
      </c>
      <c r="D12">
        <v>98.883330000000001</v>
      </c>
      <c r="E12" s="19">
        <f t="shared" si="0"/>
        <v>69.838328313600002</v>
      </c>
      <c r="F12">
        <v>28.109442999999999</v>
      </c>
      <c r="G12" s="8">
        <f t="shared" si="1"/>
        <v>-5.7000022479769541E-9</v>
      </c>
      <c r="I12">
        <v>29.045001686399999</v>
      </c>
      <c r="J12">
        <v>28.109443005700001</v>
      </c>
      <c r="K12">
        <v>0.47431436999999999</v>
      </c>
      <c r="L12">
        <v>0.98472181999999997</v>
      </c>
      <c r="N12">
        <v>19.7</v>
      </c>
      <c r="O12">
        <v>19.100000000000001</v>
      </c>
    </row>
    <row r="13" spans="1:17" x14ac:dyDescent="0.2">
      <c r="A13" t="s">
        <v>164</v>
      </c>
      <c r="B13" t="s">
        <v>100</v>
      </c>
      <c r="C13" t="s">
        <v>194</v>
      </c>
      <c r="D13">
        <v>54.420203000000001</v>
      </c>
      <c r="E13" s="19">
        <f t="shared" si="0"/>
        <v>25.611382411920001</v>
      </c>
      <c r="F13">
        <v>27.938123999999998</v>
      </c>
      <c r="G13" s="8">
        <f t="shared" si="1"/>
        <v>4.3779998293302924E-8</v>
      </c>
      <c r="I13">
        <v>28.80882058808</v>
      </c>
      <c r="J13">
        <v>27.93812395622</v>
      </c>
      <c r="K13">
        <v>0.23049895000000001</v>
      </c>
      <c r="L13">
        <v>0.40764067999999998</v>
      </c>
      <c r="N13">
        <v>19.7</v>
      </c>
      <c r="O13">
        <v>19.100000000000001</v>
      </c>
    </row>
    <row r="14" spans="1:17" x14ac:dyDescent="0.2">
      <c r="A14" t="s">
        <v>165</v>
      </c>
      <c r="B14" t="s">
        <v>101</v>
      </c>
      <c r="C14" t="s">
        <v>194</v>
      </c>
      <c r="D14">
        <v>52.711323999999998</v>
      </c>
      <c r="E14" s="19">
        <f t="shared" si="0"/>
        <v>22.334555552730009</v>
      </c>
      <c r="F14">
        <v>29.462471000000001</v>
      </c>
      <c r="G14" s="8">
        <f t="shared" si="1"/>
        <v>3.4221999811734349E-7</v>
      </c>
      <c r="I14">
        <v>30.376768447269988</v>
      </c>
      <c r="J14">
        <v>29.462470657780003</v>
      </c>
      <c r="K14">
        <v>0.26834954</v>
      </c>
      <c r="L14">
        <v>0.43669994000000001</v>
      </c>
      <c r="N14">
        <v>19.7</v>
      </c>
      <c r="O14">
        <v>19.100000000000001</v>
      </c>
    </row>
    <row r="15" spans="1:17" x14ac:dyDescent="0.2">
      <c r="A15" t="s">
        <v>166</v>
      </c>
      <c r="B15" t="s">
        <v>102</v>
      </c>
      <c r="C15" t="s">
        <v>194</v>
      </c>
      <c r="D15">
        <v>42.488933000000003</v>
      </c>
      <c r="E15" s="19">
        <f t="shared" si="0"/>
        <v>15.886322497489999</v>
      </c>
      <c r="F15">
        <v>25.786366999999998</v>
      </c>
      <c r="G15" s="8">
        <f t="shared" si="1"/>
        <v>6.4660000020921871E-7</v>
      </c>
      <c r="I15">
        <v>26.602610502510004</v>
      </c>
      <c r="J15">
        <v>25.786366353399998</v>
      </c>
      <c r="K15">
        <v>0.12668802000000001</v>
      </c>
      <c r="L15">
        <v>0.15197874</v>
      </c>
      <c r="N15">
        <v>19.7</v>
      </c>
      <c r="O15">
        <v>19.100000000000001</v>
      </c>
    </row>
    <row r="16" spans="1:17" x14ac:dyDescent="0.2">
      <c r="A16" t="s">
        <v>167</v>
      </c>
      <c r="B16" t="s">
        <v>103</v>
      </c>
      <c r="C16" t="s">
        <v>194</v>
      </c>
      <c r="D16">
        <v>44.143656999999997</v>
      </c>
      <c r="E16" s="19">
        <f t="shared" si="0"/>
        <v>22.767797469179996</v>
      </c>
      <c r="F16">
        <v>20.724696000000002</v>
      </c>
      <c r="G16" s="8">
        <f t="shared" si="1"/>
        <v>3.0350000201906369E-7</v>
      </c>
      <c r="I16">
        <v>21.375859530820001</v>
      </c>
      <c r="J16">
        <v>20.7246956965</v>
      </c>
      <c r="K16">
        <v>0.40057738999999998</v>
      </c>
      <c r="L16">
        <v>0.53272428000000005</v>
      </c>
      <c r="N16">
        <v>19.7</v>
      </c>
      <c r="O16">
        <v>19.100000000000001</v>
      </c>
    </row>
    <row r="17" spans="1:21" x14ac:dyDescent="0.2">
      <c r="A17" t="s">
        <v>168</v>
      </c>
      <c r="B17" t="s">
        <v>104</v>
      </c>
      <c r="C17" t="s">
        <v>194</v>
      </c>
      <c r="D17">
        <v>15.712038</v>
      </c>
      <c r="E17" s="19">
        <f t="shared" si="0"/>
        <v>4.9917201815659968</v>
      </c>
      <c r="F17">
        <v>10.303993999999999</v>
      </c>
      <c r="G17" s="8">
        <f t="shared" si="1"/>
        <v>-2.9557500091925704E-7</v>
      </c>
      <c r="I17">
        <v>10.720317818434003</v>
      </c>
      <c r="J17">
        <v>10.303994295575</v>
      </c>
      <c r="K17">
        <v>2.9413521000000001E-2</v>
      </c>
      <c r="L17">
        <v>4.4347638000000002E-2</v>
      </c>
      <c r="N17">
        <v>10.3</v>
      </c>
      <c r="O17">
        <v>9.9</v>
      </c>
    </row>
    <row r="18" spans="1:21" x14ac:dyDescent="0.2">
      <c r="A18" t="s">
        <v>169</v>
      </c>
      <c r="B18" t="s">
        <v>105</v>
      </c>
      <c r="C18" t="s">
        <v>194</v>
      </c>
      <c r="D18">
        <v>19.54278</v>
      </c>
      <c r="E18" s="19">
        <f t="shared" si="0"/>
        <v>8.5279860453699996</v>
      </c>
      <c r="F18">
        <v>10.580157</v>
      </c>
      <c r="G18" s="8">
        <f t="shared" si="1"/>
        <v>-2.374499974422406E-7</v>
      </c>
      <c r="I18">
        <v>11.014793954630001</v>
      </c>
      <c r="J18">
        <v>10.580157237449997</v>
      </c>
      <c r="K18">
        <v>5.0578476999999997E-2</v>
      </c>
      <c r="L18">
        <v>6.8171658999999996E-2</v>
      </c>
      <c r="N18">
        <v>10.3</v>
      </c>
      <c r="O18">
        <v>9.9</v>
      </c>
    </row>
    <row r="19" spans="1:21" x14ac:dyDescent="0.2">
      <c r="A19" t="s">
        <v>170</v>
      </c>
      <c r="B19" t="s">
        <v>106</v>
      </c>
      <c r="C19" t="s">
        <v>194</v>
      </c>
      <c r="D19">
        <v>24.229837</v>
      </c>
      <c r="E19" s="19">
        <f t="shared" si="0"/>
        <v>12.288345248229994</v>
      </c>
      <c r="F19">
        <v>11.494517999999999</v>
      </c>
      <c r="G19" s="8">
        <f t="shared" si="1"/>
        <v>-2.7583000061781604E-7</v>
      </c>
      <c r="I19">
        <v>11.941491751770005</v>
      </c>
      <c r="J19">
        <v>11.49451827583</v>
      </c>
      <c r="K19">
        <v>0.10991257</v>
      </c>
      <c r="L19">
        <v>0.13577610000000001</v>
      </c>
      <c r="N19">
        <v>10.3</v>
      </c>
      <c r="O19">
        <v>9.9</v>
      </c>
    </row>
    <row r="20" spans="1:21" x14ac:dyDescent="0.2">
      <c r="A20" t="s">
        <v>171</v>
      </c>
      <c r="B20" t="s">
        <v>107</v>
      </c>
      <c r="C20" t="s">
        <v>194</v>
      </c>
      <c r="D20">
        <v>30.991485000000001</v>
      </c>
      <c r="E20" s="19">
        <f t="shared" si="0"/>
        <v>18.169415242319999</v>
      </c>
      <c r="F20">
        <v>12.339482</v>
      </c>
      <c r="G20" s="8">
        <f t="shared" si="1"/>
        <v>2.0403000178248476E-7</v>
      </c>
      <c r="I20">
        <v>12.822069757680003</v>
      </c>
      <c r="J20">
        <v>12.339481795969999</v>
      </c>
      <c r="K20">
        <v>0.17863202</v>
      </c>
      <c r="L20">
        <v>0.21892107999999999</v>
      </c>
      <c r="N20">
        <v>10.3</v>
      </c>
      <c r="O20">
        <v>9.9</v>
      </c>
    </row>
    <row r="21" spans="1:21" x14ac:dyDescent="0.2">
      <c r="A21" t="s">
        <v>172</v>
      </c>
      <c r="B21" t="s">
        <v>108</v>
      </c>
      <c r="C21" t="s">
        <v>194</v>
      </c>
      <c r="D21">
        <v>62.723201000000003</v>
      </c>
      <c r="E21" s="19">
        <f t="shared" si="0"/>
        <v>49.74393729789</v>
      </c>
      <c r="F21">
        <v>12.430249999999999</v>
      </c>
      <c r="G21" s="8">
        <f t="shared" si="1"/>
        <v>-6.3901000224575455E-7</v>
      </c>
      <c r="I21">
        <v>12.97926370211</v>
      </c>
      <c r="J21">
        <v>12.430250639010001</v>
      </c>
      <c r="K21">
        <v>0.13434995999999999</v>
      </c>
      <c r="L21">
        <v>0.16393302000000001</v>
      </c>
      <c r="N21">
        <v>10.3</v>
      </c>
      <c r="O21">
        <v>9.9</v>
      </c>
    </row>
    <row r="22" spans="1:21" x14ac:dyDescent="0.2">
      <c r="A22" t="s">
        <v>173</v>
      </c>
      <c r="B22" t="s">
        <v>109</v>
      </c>
      <c r="C22" t="s">
        <v>206</v>
      </c>
      <c r="D22">
        <v>66.340434000000002</v>
      </c>
      <c r="E22" s="19">
        <f t="shared" si="0"/>
        <v>62.955973459090004</v>
      </c>
      <c r="F22">
        <v>3.3644400999999999</v>
      </c>
      <c r="G22" s="8">
        <f t="shared" si="1"/>
        <v>-1.8179999727863105E-8</v>
      </c>
      <c r="I22">
        <v>3.3844605409099948</v>
      </c>
      <c r="J22">
        <v>3.3644401181799997</v>
      </c>
      <c r="K22">
        <v>0.41478690000000001</v>
      </c>
      <c r="L22">
        <v>0.74263703999999997</v>
      </c>
      <c r="N22" t="s">
        <v>454</v>
      </c>
    </row>
    <row r="23" spans="1:21" ht="64" x14ac:dyDescent="0.2">
      <c r="A23" t="s">
        <v>174</v>
      </c>
      <c r="B23" t="s">
        <v>110</v>
      </c>
      <c r="C23" t="s">
        <v>206</v>
      </c>
      <c r="D23">
        <v>92.921800000000005</v>
      </c>
      <c r="E23" s="19">
        <f t="shared" si="0"/>
        <v>49.218818012</v>
      </c>
      <c r="F23">
        <v>41.651443</v>
      </c>
      <c r="G23" s="8">
        <f t="shared" si="1"/>
        <v>-1.441999941675931E-7</v>
      </c>
      <c r="I23">
        <v>43.702981988000005</v>
      </c>
      <c r="J23">
        <v>41.651443144199995</v>
      </c>
      <c r="K23">
        <v>0.99898938000000004</v>
      </c>
      <c r="L23">
        <v>1.6982577000000001</v>
      </c>
      <c r="N23" s="4">
        <f>5.3128*6.405</f>
        <v>34.028484000000006</v>
      </c>
      <c r="O23" s="4"/>
      <c r="P23" s="5" t="s">
        <v>238</v>
      </c>
    </row>
    <row r="24" spans="1:21" x14ac:dyDescent="0.2">
      <c r="A24" t="s">
        <v>175</v>
      </c>
      <c r="B24" t="s">
        <v>111</v>
      </c>
      <c r="C24" t="s">
        <v>206</v>
      </c>
      <c r="D24">
        <v>311.46830999999997</v>
      </c>
      <c r="E24" s="19">
        <f t="shared" si="0"/>
        <v>299.61694674454003</v>
      </c>
      <c r="F24">
        <v>11.469338</v>
      </c>
      <c r="G24" s="8">
        <f t="shared" si="1"/>
        <v>4.0280000312975517E-7</v>
      </c>
      <c r="I24">
        <v>11.851363255459962</v>
      </c>
      <c r="J24">
        <v>11.469337597199997</v>
      </c>
      <c r="K24">
        <v>1.1311431999999999</v>
      </c>
      <c r="L24">
        <v>2.2194075</v>
      </c>
      <c r="N24" t="s">
        <v>454</v>
      </c>
    </row>
    <row r="25" spans="1:21" ht="80" x14ac:dyDescent="0.2">
      <c r="A25" t="s">
        <v>176</v>
      </c>
      <c r="B25" t="s">
        <v>112</v>
      </c>
      <c r="C25" t="s">
        <v>206</v>
      </c>
      <c r="D25">
        <v>351.82148000000001</v>
      </c>
      <c r="E25" s="19">
        <f t="shared" si="0"/>
        <v>278.76256916600005</v>
      </c>
      <c r="F25">
        <v>69.592837000000003</v>
      </c>
      <c r="G25" s="8">
        <f t="shared" si="1"/>
        <v>-3.0770000591928692E-7</v>
      </c>
      <c r="I25">
        <v>73.058910833999988</v>
      </c>
      <c r="J25">
        <v>69.592837307700009</v>
      </c>
      <c r="K25">
        <v>2.0180210000000001</v>
      </c>
      <c r="L25">
        <v>3.6701351999999998</v>
      </c>
      <c r="N25" s="4">
        <f>5.3128*6.405</f>
        <v>34.028484000000006</v>
      </c>
      <c r="O25" s="4"/>
      <c r="P25" s="5" t="s">
        <v>288</v>
      </c>
    </row>
    <row r="26" spans="1:21" ht="48" x14ac:dyDescent="0.2">
      <c r="A26" t="s">
        <v>177</v>
      </c>
      <c r="B26" t="s">
        <v>745</v>
      </c>
      <c r="C26" t="s">
        <v>194</v>
      </c>
      <c r="D26">
        <v>267.77893999999998</v>
      </c>
      <c r="E26" s="19">
        <f t="shared" si="0"/>
        <v>200.98878901739999</v>
      </c>
      <c r="F26">
        <v>63.811196000000002</v>
      </c>
      <c r="G26" s="8">
        <f t="shared" si="1"/>
        <v>1.8200005058588431E-8</v>
      </c>
      <c r="I26">
        <v>66.790150982599982</v>
      </c>
      <c r="J26">
        <v>63.811195981799997</v>
      </c>
      <c r="K26">
        <v>2.4007455000000002</v>
      </c>
      <c r="L26">
        <v>2.5457412000000001</v>
      </c>
      <c r="N26" s="4">
        <f>24.84*1.953</f>
        <v>48.512520000000002</v>
      </c>
      <c r="O26" s="4"/>
      <c r="P26" s="5" t="s">
        <v>361</v>
      </c>
    </row>
    <row r="27" spans="1:21" ht="48" x14ac:dyDescent="0.2">
      <c r="A27" t="s">
        <v>178</v>
      </c>
      <c r="B27" t="s">
        <v>114</v>
      </c>
      <c r="C27" t="s">
        <v>194</v>
      </c>
      <c r="D27">
        <v>264.23737999999997</v>
      </c>
      <c r="E27" s="19">
        <f t="shared" si="0"/>
        <v>183.20556793099999</v>
      </c>
      <c r="F27">
        <v>77.168746999999996</v>
      </c>
      <c r="G27" s="8">
        <f t="shared" si="1"/>
        <v>-1.3199999671087426E-7</v>
      </c>
      <c r="I27">
        <v>81.031812068999983</v>
      </c>
      <c r="J27">
        <v>77.168747131999993</v>
      </c>
      <c r="K27">
        <v>1.8223796999999999</v>
      </c>
      <c r="L27">
        <v>1.9800609</v>
      </c>
      <c r="N27" s="4">
        <f>16.006*3.769</f>
        <v>60.326614000000006</v>
      </c>
      <c r="O27" s="4"/>
      <c r="P27" s="5" t="s">
        <v>362</v>
      </c>
    </row>
    <row r="28" spans="1:21" ht="48" x14ac:dyDescent="0.2">
      <c r="A28" t="s">
        <v>179</v>
      </c>
      <c r="B28" t="s">
        <v>115</v>
      </c>
      <c r="C28" t="s">
        <v>194</v>
      </c>
      <c r="D28">
        <v>24.553217</v>
      </c>
      <c r="E28" s="19">
        <f t="shared" si="0"/>
        <v>2.9083201109700028</v>
      </c>
      <c r="F28">
        <v>20.620598000000001</v>
      </c>
      <c r="G28" s="8">
        <f t="shared" si="1"/>
        <v>8.1630002313204386E-8</v>
      </c>
      <c r="I28">
        <v>21.644896889029997</v>
      </c>
      <c r="J28">
        <v>20.620597918369999</v>
      </c>
      <c r="K28">
        <v>3.7261176999999999E-2</v>
      </c>
      <c r="L28">
        <v>4.3785818999999997E-2</v>
      </c>
      <c r="N28" s="4" t="s">
        <v>243</v>
      </c>
      <c r="O28" s="4"/>
      <c r="P28" s="5" t="s">
        <v>359</v>
      </c>
    </row>
    <row r="29" spans="1:21" ht="32" x14ac:dyDescent="0.2">
      <c r="A29" t="s">
        <v>180</v>
      </c>
      <c r="B29" t="s">
        <v>746</v>
      </c>
      <c r="C29" s="3" t="s">
        <v>206</v>
      </c>
      <c r="D29">
        <v>1026.4996000000001</v>
      </c>
      <c r="E29" s="19">
        <f t="shared" si="0"/>
        <v>941.03422791499986</v>
      </c>
      <c r="F29">
        <v>81.792423999999997</v>
      </c>
      <c r="G29" s="8">
        <f t="shared" si="1"/>
        <v>-6.0200001428256655E-7</v>
      </c>
      <c r="I29">
        <v>85.465372085000283</v>
      </c>
      <c r="J29">
        <v>81.792424602000011</v>
      </c>
      <c r="K29">
        <v>4.4600451999999997</v>
      </c>
      <c r="L29">
        <v>5.1159471999999999</v>
      </c>
      <c r="N29" t="s">
        <v>454</v>
      </c>
      <c r="Q29" s="31" t="s">
        <v>786</v>
      </c>
      <c r="R29" s="30">
        <f>D29/188.6</f>
        <v>5.4427338282078477</v>
      </c>
      <c r="S29" s="30">
        <f>F29/188.6</f>
        <v>0.43368199363732768</v>
      </c>
      <c r="T29" s="30">
        <f>K29/188.6</f>
        <v>2.3648171792152704E-2</v>
      </c>
      <c r="U29" s="30">
        <f>L29/188.6</f>
        <v>2.7125913043478261E-2</v>
      </c>
    </row>
    <row r="30" spans="1:21" ht="128" x14ac:dyDescent="0.2">
      <c r="A30" t="s">
        <v>181</v>
      </c>
      <c r="B30" t="s">
        <v>747</v>
      </c>
      <c r="C30" t="s">
        <v>194</v>
      </c>
      <c r="D30">
        <v>6.7862698000000004</v>
      </c>
      <c r="E30" s="19">
        <f t="shared" si="0"/>
        <v>-8.7343499124998836E-2</v>
      </c>
      <c r="F30">
        <v>6.4537538000000003</v>
      </c>
      <c r="G30" s="8">
        <f t="shared" si="1"/>
        <v>7.3076001250171885E-8</v>
      </c>
      <c r="I30">
        <v>6.8736132991249992</v>
      </c>
      <c r="J30">
        <v>6.4537537269239991</v>
      </c>
      <c r="K30">
        <v>5.7676601000000001E-2</v>
      </c>
      <c r="L30">
        <v>5.9855008000000001E-2</v>
      </c>
      <c r="N30" s="4" t="s">
        <v>244</v>
      </c>
      <c r="O30" s="4"/>
      <c r="P30" s="5" t="s">
        <v>360</v>
      </c>
    </row>
    <row r="31" spans="1:21" x14ac:dyDescent="0.2">
      <c r="A31" t="s">
        <v>182</v>
      </c>
      <c r="B31" t="s">
        <v>118</v>
      </c>
      <c r="C31" t="s">
        <v>194</v>
      </c>
      <c r="D31">
        <v>30.620650000000001</v>
      </c>
      <c r="E31" s="19">
        <f t="shared" si="0"/>
        <v>28.285648787540001</v>
      </c>
      <c r="F31">
        <v>2.2311510000000001</v>
      </c>
      <c r="G31" s="8">
        <f t="shared" si="1"/>
        <v>-4.0149999769312217E-8</v>
      </c>
      <c r="I31">
        <v>2.3350012124599986</v>
      </c>
      <c r="J31">
        <v>2.2311510401499999</v>
      </c>
      <c r="K31">
        <v>9.7286948999999998E-2</v>
      </c>
      <c r="L31">
        <v>0.11196376</v>
      </c>
      <c r="N31" t="s">
        <v>454</v>
      </c>
    </row>
    <row r="32" spans="1:21" ht="48" x14ac:dyDescent="0.2">
      <c r="A32" t="s">
        <v>183</v>
      </c>
      <c r="B32" t="s">
        <v>119</v>
      </c>
      <c r="C32" t="s">
        <v>194</v>
      </c>
      <c r="D32">
        <v>58.265819999999998</v>
      </c>
      <c r="E32" s="19">
        <f t="shared" si="0"/>
        <v>34.278492057820003</v>
      </c>
      <c r="F32">
        <v>22.850989999999999</v>
      </c>
      <c r="G32" s="8">
        <f t="shared" si="1"/>
        <v>8.8880000248536817E-8</v>
      </c>
      <c r="I32">
        <v>23.987327942179991</v>
      </c>
      <c r="J32">
        <v>22.850989911119999</v>
      </c>
      <c r="K32">
        <v>0.11787089000000001</v>
      </c>
      <c r="L32">
        <v>0.13557263999999999</v>
      </c>
      <c r="N32" s="4" t="s">
        <v>243</v>
      </c>
      <c r="O32" s="4"/>
      <c r="P32" s="5" t="s">
        <v>359</v>
      </c>
    </row>
    <row r="33" spans="1:17" x14ac:dyDescent="0.2">
      <c r="A33" t="s">
        <v>184</v>
      </c>
      <c r="B33" t="s">
        <v>750</v>
      </c>
      <c r="C33" t="s">
        <v>194</v>
      </c>
      <c r="D33">
        <v>9906.1059999999998</v>
      </c>
      <c r="E33" s="19">
        <f t="shared" si="0"/>
        <v>9657.431657933299</v>
      </c>
      <c r="F33">
        <v>233.47443999999999</v>
      </c>
      <c r="G33" s="8">
        <f t="shared" si="1"/>
        <v>-3.0716000196662208E-6</v>
      </c>
      <c r="I33">
        <v>248.67434206670131</v>
      </c>
      <c r="J33">
        <v>233.47444307160001</v>
      </c>
      <c r="K33">
        <v>1.9296698999999999</v>
      </c>
      <c r="L33">
        <v>2.1606060999999999</v>
      </c>
      <c r="N33" t="s">
        <v>454</v>
      </c>
    </row>
    <row r="34" spans="1:17" x14ac:dyDescent="0.2">
      <c r="A34" t="s">
        <v>235</v>
      </c>
      <c r="B34" t="s">
        <v>749</v>
      </c>
      <c r="C34" t="s">
        <v>194</v>
      </c>
      <c r="D34">
        <v>75.046132</v>
      </c>
      <c r="E34" s="19">
        <f t="shared" si="0"/>
        <v>4.0082399087214071</v>
      </c>
      <c r="F34">
        <v>72.528756999999999</v>
      </c>
      <c r="G34" s="8">
        <f t="shared" si="1"/>
        <v>-1.2190099596409709E-8</v>
      </c>
      <c r="I34">
        <v>71.037892091278593</v>
      </c>
      <c r="J34">
        <v>72.528757012190098</v>
      </c>
      <c r="K34">
        <v>1.7874544999999999</v>
      </c>
      <c r="L34">
        <v>2.7442655999999999</v>
      </c>
      <c r="N34" t="s">
        <v>454</v>
      </c>
    </row>
    <row r="35" spans="1:17" x14ac:dyDescent="0.2">
      <c r="A35" t="s">
        <v>213</v>
      </c>
      <c r="B35" t="s">
        <v>748</v>
      </c>
      <c r="C35" t="s">
        <v>194</v>
      </c>
      <c r="D35">
        <v>150.92881</v>
      </c>
      <c r="E35" s="19">
        <f t="shared" si="0"/>
        <v>-0.120429334009998</v>
      </c>
      <c r="F35">
        <v>148.89269999999999</v>
      </c>
      <c r="G35" s="8">
        <f t="shared" si="1"/>
        <v>2.7061000196226814E-6</v>
      </c>
      <c r="I35">
        <v>151.04923933401</v>
      </c>
      <c r="J35">
        <v>148.89269729389997</v>
      </c>
      <c r="K35">
        <v>1.5923413</v>
      </c>
      <c r="L35">
        <v>1.7902415</v>
      </c>
      <c r="N35" t="s">
        <v>454</v>
      </c>
    </row>
    <row r="36" spans="1:17" ht="32" x14ac:dyDescent="0.2">
      <c r="A36" t="s">
        <v>217</v>
      </c>
      <c r="B36" t="s">
        <v>122</v>
      </c>
      <c r="C36" t="s">
        <v>207</v>
      </c>
      <c r="D36">
        <v>11.651742</v>
      </c>
      <c r="E36" s="19">
        <f t="shared" si="0"/>
        <v>7.3761414740240019</v>
      </c>
      <c r="F36">
        <v>4.4440137000000002</v>
      </c>
      <c r="G36" s="8">
        <f t="shared" si="1"/>
        <v>0.25323561583199972</v>
      </c>
      <c r="I36">
        <v>4.2756005259759986</v>
      </c>
      <c r="J36">
        <v>4.1907780841680005</v>
      </c>
      <c r="K36">
        <v>4.0411085999999999E-2</v>
      </c>
      <c r="L36">
        <v>4.8742028E-2</v>
      </c>
      <c r="N36" t="s">
        <v>237</v>
      </c>
      <c r="Q36" s="5" t="s">
        <v>286</v>
      </c>
    </row>
    <row r="37" spans="1:17" ht="32" x14ac:dyDescent="0.2">
      <c r="A37" t="s">
        <v>216</v>
      </c>
      <c r="B37" t="s">
        <v>123</v>
      </c>
      <c r="C37" t="s">
        <v>207</v>
      </c>
      <c r="D37">
        <v>13.015597</v>
      </c>
      <c r="E37" s="19">
        <f t="shared" si="0"/>
        <v>8.608547937777999</v>
      </c>
      <c r="F37">
        <v>4.499898</v>
      </c>
      <c r="G37" s="8">
        <f t="shared" si="1"/>
        <v>0.25446453840699945</v>
      </c>
      <c r="I37">
        <v>4.4070490622220015</v>
      </c>
      <c r="J37">
        <v>4.2454334615930005</v>
      </c>
      <c r="K37">
        <v>4.1897987999999997E-2</v>
      </c>
      <c r="L37">
        <v>4.9779624000000001E-2</v>
      </c>
      <c r="N37" t="s">
        <v>237</v>
      </c>
      <c r="Q37" s="5" t="s">
        <v>224</v>
      </c>
    </row>
    <row r="38" spans="1:17" x14ac:dyDescent="0.2">
      <c r="A38" t="s">
        <v>185</v>
      </c>
      <c r="B38" t="s">
        <v>752</v>
      </c>
      <c r="C38" t="s">
        <v>207</v>
      </c>
      <c r="D38">
        <v>8.8104767000000006</v>
      </c>
      <c r="E38" s="19">
        <f t="shared" si="0"/>
        <v>5.0082621039990016</v>
      </c>
      <c r="F38">
        <v>4.0477197</v>
      </c>
      <c r="G38" s="8">
        <f t="shared" si="1"/>
        <v>0.27081909528399972</v>
      </c>
      <c r="I38">
        <v>3.8022145960009994</v>
      </c>
      <c r="J38">
        <v>3.7769006047160003</v>
      </c>
      <c r="K38">
        <v>1.1364337E-2</v>
      </c>
      <c r="L38">
        <v>1.3202673E-2</v>
      </c>
      <c r="N38" t="s">
        <v>237</v>
      </c>
    </row>
    <row r="39" spans="1:17" x14ac:dyDescent="0.2">
      <c r="A39" t="s">
        <v>186</v>
      </c>
      <c r="B39" t="s">
        <v>125</v>
      </c>
      <c r="C39" t="s">
        <v>207</v>
      </c>
      <c r="D39">
        <v>2254.6334999999999</v>
      </c>
      <c r="E39" s="19">
        <f t="shared" si="0"/>
        <v>2250.7968230062047</v>
      </c>
      <c r="F39">
        <v>3.8326053</v>
      </c>
      <c r="G39" s="8">
        <f t="shared" si="1"/>
        <v>-2.4648699969986865E-8</v>
      </c>
      <c r="I39">
        <v>3.8366769937952085</v>
      </c>
      <c r="J39">
        <v>3.8326053246487</v>
      </c>
      <c r="K39">
        <v>4.0116214000000001E-3</v>
      </c>
      <c r="L39">
        <v>5.1771936999999999E-3</v>
      </c>
      <c r="N39" t="s">
        <v>237</v>
      </c>
    </row>
    <row r="40" spans="1:17" x14ac:dyDescent="0.2">
      <c r="A40" t="s">
        <v>187</v>
      </c>
      <c r="B40" t="s">
        <v>126</v>
      </c>
      <c r="C40" t="s">
        <v>207</v>
      </c>
      <c r="D40">
        <v>706.67574999999999</v>
      </c>
      <c r="E40" s="19">
        <f t="shared" si="0"/>
        <v>702.83390672370524</v>
      </c>
      <c r="F40">
        <v>3.8376155000000001</v>
      </c>
      <c r="G40" s="8">
        <f t="shared" si="1"/>
        <v>-7.1917900079654373E-8</v>
      </c>
      <c r="I40">
        <v>3.8418432762947532</v>
      </c>
      <c r="J40">
        <v>3.8376155719179001</v>
      </c>
      <c r="K40">
        <v>1.6989896000000001E-2</v>
      </c>
      <c r="L40">
        <v>2.0048243E-2</v>
      </c>
      <c r="N40" t="s">
        <v>237</v>
      </c>
    </row>
    <row r="41" spans="1:17" ht="16" x14ac:dyDescent="0.2">
      <c r="A41" t="s">
        <v>188</v>
      </c>
      <c r="B41" t="s">
        <v>751</v>
      </c>
      <c r="C41" t="s">
        <v>207</v>
      </c>
      <c r="D41">
        <v>0</v>
      </c>
      <c r="E41" s="19">
        <f t="shared" si="0"/>
        <v>0</v>
      </c>
      <c r="F41">
        <v>0</v>
      </c>
      <c r="G41" s="8">
        <f t="shared" si="1"/>
        <v>-3.6</v>
      </c>
      <c r="I41">
        <v>0</v>
      </c>
      <c r="J41">
        <v>3.6</v>
      </c>
      <c r="K41">
        <v>0</v>
      </c>
      <c r="L41">
        <v>0</v>
      </c>
      <c r="N41" t="s">
        <v>237</v>
      </c>
      <c r="Q41" s="5" t="s">
        <v>291</v>
      </c>
    </row>
    <row r="42" spans="1:17" x14ac:dyDescent="0.2">
      <c r="A42" t="s">
        <v>189</v>
      </c>
      <c r="B42" t="s">
        <v>231</v>
      </c>
      <c r="C42" t="s">
        <v>207</v>
      </c>
      <c r="D42">
        <v>106.92461</v>
      </c>
      <c r="E42" s="19">
        <f t="shared" si="0"/>
        <v>97.439867480760995</v>
      </c>
      <c r="F42">
        <v>9.1851643000000003</v>
      </c>
      <c r="G42" s="8">
        <f t="shared" si="1"/>
        <v>-7.9466000002526016E-8</v>
      </c>
      <c r="I42">
        <v>9.4847425192390116</v>
      </c>
      <c r="J42">
        <v>9.1851643794660003</v>
      </c>
      <c r="K42">
        <v>0.47567072999999999</v>
      </c>
      <c r="L42">
        <v>0.53284726000000004</v>
      </c>
      <c r="N42" t="s">
        <v>237</v>
      </c>
    </row>
    <row r="43" spans="1:17" x14ac:dyDescent="0.2">
      <c r="A43" t="s">
        <v>190</v>
      </c>
      <c r="B43" t="s">
        <v>232</v>
      </c>
      <c r="C43" t="s">
        <v>207</v>
      </c>
      <c r="D43">
        <v>237.35048</v>
      </c>
      <c r="E43" s="19">
        <f t="shared" si="0"/>
        <v>225.10477522983004</v>
      </c>
      <c r="F43">
        <v>11.566371999999999</v>
      </c>
      <c r="G43" s="8">
        <f t="shared" si="1"/>
        <v>3.8992999940035133E-7</v>
      </c>
      <c r="I43">
        <v>12.245704770169962</v>
      </c>
      <c r="J43">
        <v>11.56637161007</v>
      </c>
      <c r="K43">
        <v>0.53415751</v>
      </c>
      <c r="L43">
        <v>0.60006932000000002</v>
      </c>
      <c r="N43" t="s">
        <v>237</v>
      </c>
    </row>
    <row r="44" spans="1:17" ht="32" x14ac:dyDescent="0.2">
      <c r="A44" t="s">
        <v>215</v>
      </c>
      <c r="B44" t="s">
        <v>128</v>
      </c>
      <c r="C44" t="s">
        <v>138</v>
      </c>
      <c r="D44">
        <v>3.960321</v>
      </c>
      <c r="E44" s="19">
        <f t="shared" si="0"/>
        <v>3.8441206870947999</v>
      </c>
      <c r="F44">
        <v>1.2439784</v>
      </c>
      <c r="G44" s="8">
        <f t="shared" si="1"/>
        <v>0.14488199652360012</v>
      </c>
      <c r="I44">
        <v>0.11620031290520028</v>
      </c>
      <c r="J44">
        <v>1.0990964034763999</v>
      </c>
      <c r="K44">
        <v>4.4952752E-3</v>
      </c>
      <c r="L44">
        <v>5.1904628999999997E-3</v>
      </c>
      <c r="N44" t="s">
        <v>237</v>
      </c>
      <c r="Q44" s="5" t="s">
        <v>286</v>
      </c>
    </row>
    <row r="45" spans="1:17" ht="32" x14ac:dyDescent="0.2">
      <c r="A45" t="s">
        <v>214</v>
      </c>
      <c r="B45" t="s">
        <v>129</v>
      </c>
      <c r="C45" t="s">
        <v>138</v>
      </c>
      <c r="D45">
        <v>3.8043830000000001</v>
      </c>
      <c r="E45" s="19">
        <f t="shared" si="0"/>
        <v>3.6924800379942</v>
      </c>
      <c r="F45">
        <v>1.2280443000000001</v>
      </c>
      <c r="G45" s="8">
        <f t="shared" si="1"/>
        <v>0.1327567845087001</v>
      </c>
      <c r="I45">
        <v>0.11190296200580013</v>
      </c>
      <c r="J45">
        <v>1.0952875154913</v>
      </c>
      <c r="K45">
        <v>4.1676663000000001E-3</v>
      </c>
      <c r="L45">
        <v>4.8253701999999999E-3</v>
      </c>
      <c r="N45" t="s">
        <v>237</v>
      </c>
      <c r="Q45" s="5" t="s">
        <v>286</v>
      </c>
    </row>
    <row r="46" spans="1:17" ht="16" x14ac:dyDescent="0.2">
      <c r="A46" t="s">
        <v>218</v>
      </c>
      <c r="B46" t="s">
        <v>130</v>
      </c>
      <c r="C46" t="s">
        <v>138</v>
      </c>
      <c r="D46">
        <v>7.6652855999999998</v>
      </c>
      <c r="E46" s="19">
        <f t="shared" si="0"/>
        <v>7.452408840883999</v>
      </c>
      <c r="F46">
        <v>1.6994891999999999</v>
      </c>
      <c r="G46" s="8">
        <f t="shared" si="1"/>
        <v>0.51159044959400002</v>
      </c>
      <c r="I46">
        <v>0.21287675911600037</v>
      </c>
      <c r="J46">
        <v>1.1878987504059999</v>
      </c>
      <c r="K46">
        <v>7.8941758000000001E-3</v>
      </c>
      <c r="L46">
        <v>9.0972545000000005E-3</v>
      </c>
      <c r="N46" t="s">
        <v>237</v>
      </c>
      <c r="Q46" s="5" t="s">
        <v>289</v>
      </c>
    </row>
    <row r="47" spans="1:17" ht="16" x14ac:dyDescent="0.2">
      <c r="A47" t="s">
        <v>222</v>
      </c>
      <c r="B47" t="s">
        <v>753</v>
      </c>
      <c r="C47" t="s">
        <v>138</v>
      </c>
      <c r="D47">
        <v>7.7898041999999998</v>
      </c>
      <c r="E47" s="19">
        <f t="shared" si="0"/>
        <v>7.0916718665349991</v>
      </c>
      <c r="F47">
        <v>1.4191052</v>
      </c>
      <c r="G47" s="8">
        <f t="shared" si="1"/>
        <v>0.83984005289989994</v>
      </c>
      <c r="I47">
        <v>0.69813233346500103</v>
      </c>
      <c r="J47">
        <v>0.57926514710010002</v>
      </c>
      <c r="K47">
        <v>4.0095139000000002E-2</v>
      </c>
      <c r="L47">
        <v>5.2528712999999998E-2</v>
      </c>
      <c r="N47" t="s">
        <v>237</v>
      </c>
      <c r="Q47" s="5" t="s">
        <v>290</v>
      </c>
    </row>
    <row r="48" spans="1:17" ht="16" x14ac:dyDescent="0.2">
      <c r="A48" t="s">
        <v>221</v>
      </c>
      <c r="B48" t="s">
        <v>754</v>
      </c>
      <c r="C48" t="s">
        <v>138</v>
      </c>
      <c r="D48">
        <v>10.801888999999999</v>
      </c>
      <c r="E48" s="19">
        <f t="shared" si="0"/>
        <v>9.8491262182769983</v>
      </c>
      <c r="F48">
        <v>0.92096023999999999</v>
      </c>
      <c r="G48" s="8">
        <f t="shared" si="1"/>
        <v>0.13349425260699999</v>
      </c>
      <c r="I48">
        <v>0.95276278172300022</v>
      </c>
      <c r="J48">
        <v>0.787465987393</v>
      </c>
      <c r="K48">
        <v>5.5710902999999999E-2</v>
      </c>
      <c r="L48">
        <v>7.4447944000000002E-2</v>
      </c>
      <c r="N48" t="s">
        <v>237</v>
      </c>
      <c r="Q48" s="5" t="s">
        <v>290</v>
      </c>
    </row>
    <row r="49" spans="1:27" ht="16" x14ac:dyDescent="0.2">
      <c r="A49" t="s">
        <v>219</v>
      </c>
      <c r="B49" t="s">
        <v>133</v>
      </c>
      <c r="C49" t="s">
        <v>138</v>
      </c>
      <c r="D49">
        <v>8.9124058999999995</v>
      </c>
      <c r="E49" s="19">
        <f t="shared" si="0"/>
        <v>8.1146932469680007</v>
      </c>
      <c r="F49">
        <v>1.4774202000000001</v>
      </c>
      <c r="G49" s="8">
        <f t="shared" si="1"/>
        <v>0.81584197995100005</v>
      </c>
      <c r="I49">
        <v>0.79771265303199967</v>
      </c>
      <c r="J49">
        <v>0.66157822004900002</v>
      </c>
      <c r="K49">
        <v>4.5089206999999999E-2</v>
      </c>
      <c r="L49">
        <v>5.8123077000000002E-2</v>
      </c>
      <c r="N49" t="s">
        <v>237</v>
      </c>
      <c r="Q49" s="5" t="s">
        <v>290</v>
      </c>
    </row>
    <row r="50" spans="1:27" ht="16" x14ac:dyDescent="0.2">
      <c r="A50" t="s">
        <v>220</v>
      </c>
      <c r="B50" t="s">
        <v>134</v>
      </c>
      <c r="C50" t="s">
        <v>138</v>
      </c>
      <c r="D50">
        <v>20.495156000000001</v>
      </c>
      <c r="E50" s="19">
        <f t="shared" si="0"/>
        <v>19.6149082293649</v>
      </c>
      <c r="F50">
        <v>0.85229273000000005</v>
      </c>
      <c r="G50" s="8">
        <f t="shared" si="1"/>
        <v>0.12455263708089992</v>
      </c>
      <c r="I50">
        <v>0.88024777063510029</v>
      </c>
      <c r="J50">
        <v>0.72774009291910013</v>
      </c>
      <c r="K50">
        <v>4.8258793000000001E-2</v>
      </c>
      <c r="L50">
        <v>6.0337372E-2</v>
      </c>
      <c r="N50" t="s">
        <v>237</v>
      </c>
      <c r="Q50" s="5" t="s">
        <v>290</v>
      </c>
    </row>
    <row r="51" spans="1:27" ht="16" x14ac:dyDescent="0.2">
      <c r="A51" t="s">
        <v>191</v>
      </c>
      <c r="B51" t="s">
        <v>755</v>
      </c>
      <c r="C51" t="s">
        <v>207</v>
      </c>
      <c r="D51">
        <v>1.0316543</v>
      </c>
      <c r="E51" s="19">
        <f t="shared" si="0"/>
        <v>-4.5320547341999973E-2</v>
      </c>
      <c r="F51">
        <v>8.1407985000000007</v>
      </c>
      <c r="G51" s="8">
        <f t="shared" si="1"/>
        <v>-18.662108179013998</v>
      </c>
      <c r="I51">
        <v>1.076974847342</v>
      </c>
      <c r="J51">
        <v>26.802906679014001</v>
      </c>
      <c r="K51">
        <v>6.7600979000000005E-2</v>
      </c>
      <c r="L51">
        <v>7.6744628999999995E-2</v>
      </c>
      <c r="N51" t="s">
        <v>237</v>
      </c>
      <c r="Q51" s="5" t="s">
        <v>292</v>
      </c>
    </row>
    <row r="52" spans="1:27" ht="16" x14ac:dyDescent="0.2">
      <c r="A52" t="s">
        <v>192</v>
      </c>
      <c r="B52" t="s">
        <v>756</v>
      </c>
      <c r="C52" t="s">
        <v>138</v>
      </c>
      <c r="D52">
        <v>0</v>
      </c>
      <c r="E52" s="19">
        <f t="shared" si="0"/>
        <v>0</v>
      </c>
      <c r="F52">
        <v>0</v>
      </c>
      <c r="G52" s="8">
        <f t="shared" si="1"/>
        <v>-1</v>
      </c>
      <c r="I52">
        <v>0</v>
      </c>
      <c r="J52">
        <v>1</v>
      </c>
      <c r="K52">
        <v>0</v>
      </c>
      <c r="L52">
        <v>0</v>
      </c>
      <c r="N52" t="s">
        <v>237</v>
      </c>
      <c r="Q52" s="5" t="s">
        <v>291</v>
      </c>
    </row>
    <row r="53" spans="1:27" ht="96" x14ac:dyDescent="0.2">
      <c r="A53" t="s">
        <v>653</v>
      </c>
      <c r="B53" t="s">
        <v>757</v>
      </c>
      <c r="C53" t="s">
        <v>194</v>
      </c>
      <c r="D53">
        <v>4982781.3</v>
      </c>
      <c r="E53" s="19">
        <f>D53-I53</f>
        <v>260578.56035000086</v>
      </c>
      <c r="F53">
        <v>4720911.5</v>
      </c>
      <c r="G53" s="8">
        <f t="shared" si="1"/>
        <v>0</v>
      </c>
      <c r="I53">
        <v>4722202.739649999</v>
      </c>
      <c r="J53">
        <v>4720911.5</v>
      </c>
      <c r="K53">
        <v>2890.2044999999998</v>
      </c>
      <c r="L53">
        <v>3191.9665</v>
      </c>
      <c r="N53">
        <f>560000*8.37</f>
        <v>4687200</v>
      </c>
      <c r="O53">
        <f>560000*8.37</f>
        <v>4687200</v>
      </c>
      <c r="P53" s="5" t="s">
        <v>657</v>
      </c>
    </row>
    <row r="54" spans="1:27" ht="96" x14ac:dyDescent="0.2">
      <c r="A54" t="s">
        <v>656</v>
      </c>
      <c r="B54" t="s">
        <v>758</v>
      </c>
      <c r="C54" t="s">
        <v>194</v>
      </c>
      <c r="D54">
        <v>4708334.8</v>
      </c>
      <c r="E54" s="19">
        <f t="shared" si="0"/>
        <v>248429.18087999988</v>
      </c>
      <c r="F54">
        <v>4458680.4000000004</v>
      </c>
      <c r="G54" s="8">
        <f t="shared" si="1"/>
        <v>0</v>
      </c>
      <c r="I54">
        <v>4459905.6191199999</v>
      </c>
      <c r="J54">
        <v>4458680.4000000004</v>
      </c>
      <c r="K54">
        <v>2731.3634000000002</v>
      </c>
      <c r="L54">
        <v>3016.6217999999999</v>
      </c>
      <c r="N54">
        <f>560000*7.9</f>
        <v>4424000</v>
      </c>
      <c r="O54">
        <f>560000*7.9</f>
        <v>4424000</v>
      </c>
      <c r="P54" s="5" t="s">
        <v>658</v>
      </c>
    </row>
    <row r="62" spans="1:27" x14ac:dyDescent="0.2">
      <c r="W62" s="51"/>
      <c r="X62" s="8"/>
      <c r="Y62" s="90"/>
      <c r="Z62" s="7"/>
      <c r="AA62" s="7"/>
    </row>
  </sheetData>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78F0D4390BA9A43B4792BA63723A199" ma:contentTypeVersion="15" ma:contentTypeDescription="Ein neues Dokument erstellen." ma:contentTypeScope="" ma:versionID="75eae9ad4ffedf0880b8da768fdeee14">
  <xsd:schema xmlns:xsd="http://www.w3.org/2001/XMLSchema" xmlns:xs="http://www.w3.org/2001/XMLSchema" xmlns:p="http://schemas.microsoft.com/office/2006/metadata/properties" xmlns:ns2="0c81d3a9-ab53-4206-85ab-c5a01e3cdddf" xmlns:ns3="b3dd28e1-49a3-4ccb-a67f-24d5c9154812" targetNamespace="http://schemas.microsoft.com/office/2006/metadata/properties" ma:root="true" ma:fieldsID="bd4fb94b0d412b7766882ec4239c0232" ns2:_="" ns3:_="">
    <xsd:import namespace="0c81d3a9-ab53-4206-85ab-c5a01e3cdddf"/>
    <xsd:import namespace="b3dd28e1-49a3-4ccb-a67f-24d5c915481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1d3a9-ab53-4206-85ab-c5a01e3cd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d0517dc-3513-452d-9092-b9e93d9300c1"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dd28e1-49a3-4ccb-a67f-24d5c91548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9bc264-58c1-4d8f-aba1-c38a98c43e2f}" ma:internalName="TaxCatchAll" ma:showField="CatchAllData" ma:web="b3dd28e1-49a3-4ccb-a67f-24d5c915481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381455-7AAD-48F0-AC09-41F66D55425E}">
  <ds:schemaRefs>
    <ds:schemaRef ds:uri="http://schemas.microsoft.com/sharepoint/v3/contenttype/forms"/>
  </ds:schemaRefs>
</ds:datastoreItem>
</file>

<file path=customXml/itemProps2.xml><?xml version="1.0" encoding="utf-8"?>
<ds:datastoreItem xmlns:ds="http://schemas.openxmlformats.org/officeDocument/2006/customXml" ds:itemID="{0146FB7F-987C-407F-86BD-EC9A73509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1d3a9-ab53-4206-85ab-c5a01e3cdddf"/>
    <ds:schemaRef ds:uri="b3dd28e1-49a3-4ccb-a67f-24d5c91548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18</vt:i4>
      </vt:variant>
    </vt:vector>
  </HeadingPairs>
  <TitlesOfParts>
    <vt:vector size="18" baseType="lpstr">
      <vt:lpstr>Explanations</vt:lpstr>
      <vt:lpstr>CExD</vt:lpstr>
      <vt:lpstr>CED</vt:lpstr>
      <vt:lpstr>GWP 100</vt:lpstr>
      <vt:lpstr>GWP 20</vt:lpstr>
      <vt:lpstr>ESU Summary</vt:lpstr>
      <vt:lpstr>CExD_edit</vt:lpstr>
      <vt:lpstr>CED_edit</vt:lpstr>
      <vt:lpstr>ESU Summary_edit</vt:lpstr>
      <vt:lpstr>Side calculations</vt:lpstr>
      <vt:lpstr>Assessment</vt:lpstr>
      <vt:lpstr>Data summary</vt:lpstr>
      <vt:lpstr>Infrastructure - CExD</vt:lpstr>
      <vt:lpstr>Infrastructure - CExD_edit</vt:lpstr>
      <vt:lpstr>Infrastructure - CED</vt:lpstr>
      <vt:lpstr>Infrastructure - GWP20</vt:lpstr>
      <vt:lpstr>Infrastructure - GWP100</vt:lpstr>
      <vt:lpstr>Infrastructure -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Ulrich</dc:creator>
  <cp:lastModifiedBy>Jentsch, Dr. Andrej</cp:lastModifiedBy>
  <dcterms:created xsi:type="dcterms:W3CDTF">2015-06-05T18:19:34Z</dcterms:created>
  <dcterms:modified xsi:type="dcterms:W3CDTF">2024-07-19T05:52:48Z</dcterms:modified>
</cp:coreProperties>
</file>